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81D80D9A-8ED8-4FCE-8ED3-34D1EA31566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1 - Pipe P1" sheetId="1" r:id="rId1"/>
    <sheet name="Graph Data" sheetId="3" r:id="rId2"/>
  </sheets>
  <definedNames>
    <definedName name="A">'Example 7.1 - Pipe P1'!$C$23</definedName>
    <definedName name="c_1">'Example 7.1 - Pipe P1'!$C$79</definedName>
    <definedName name="c_2">'Example 7.1 - Pipe P1'!$C$125</definedName>
    <definedName name="cp">'Example 7.1 - Pipe P1'!$C$11</definedName>
    <definedName name="D">'Example 7.1 - Pipe P1'!$C$19</definedName>
    <definedName name="f">'Example 7.1 - Pipe P1'!$C$25</definedName>
    <definedName name="Gam">'Example 7.1 - Pipe P1'!$C$5</definedName>
    <definedName name="gc">'Example 7.1 - Pipe P1'!$C$6</definedName>
    <definedName name="h_1">'Example 7.1 - Pipe P1'!$C$87</definedName>
    <definedName name="h_2">'Example 7.1 - Pipe P1'!$C$123</definedName>
    <definedName name="ho_1">'Example 7.1 - Pipe P1'!$C$89</definedName>
    <definedName name="ho_2">'Example 7.1 - Pipe P1'!$C$100</definedName>
    <definedName name="L">'Example 7.1 - Pipe P1'!$C$15</definedName>
    <definedName name="M_1">'Example 7.1 - Pipe P1'!$C$47</definedName>
    <definedName name="M_2">'Example 7.1 - Pipe P1'!$C$45</definedName>
    <definedName name="M_3">'Graph Data'!$F$79</definedName>
    <definedName name="mdot">'Example 7.1 - Pipe P1'!$C$65</definedName>
    <definedName name="P_1">'Example 7.1 - Pipe P1'!$C$70</definedName>
    <definedName name="P_2">'Example 7.1 - Pipe P1'!$C$107</definedName>
    <definedName name="Po_1">'Example 7.1 - Pipe P1'!$C$37</definedName>
    <definedName name="Po_2">'Example 7.1 - Pipe P1'!$C$112</definedName>
    <definedName name="Rg">'Example 7.1 - Pipe P1'!$C$3</definedName>
    <definedName name="rho_1">'Example 7.1 - Pipe P1'!$C$75</definedName>
    <definedName name="rho_2">'Example 7.1 - Pipe P1'!$C$118</definedName>
    <definedName name="T_1">'Example 7.1 - Pipe P1'!$C$72</definedName>
    <definedName name="T_2">'Example 7.1 - Pipe P1'!$C$109</definedName>
    <definedName name="To_1">'Example 7.1 - Pipe P1'!$C$41</definedName>
    <definedName name="To_2">'Example 7.1 - Pipe P1'!$C$114</definedName>
    <definedName name="V_1">'Example 7.1 - Pipe P1'!$C$77</definedName>
    <definedName name="V_2">'Example 7.1 - Pipe P1'!$C$120</definedName>
    <definedName name="Z">'Example 7.1 - Pipe P1'!$C$42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F5" i="3"/>
  <c r="G5" i="3" s="1"/>
  <c r="J5" i="3"/>
  <c r="AD5" i="3" s="1"/>
  <c r="G78" i="3"/>
  <c r="AB78" i="3"/>
  <c r="D79" i="3"/>
  <c r="E79" i="3" s="1"/>
  <c r="AB79" i="3"/>
  <c r="AD79" i="3"/>
  <c r="F80" i="3"/>
  <c r="P80" i="3"/>
  <c r="P81" i="3" s="1"/>
  <c r="Q80" i="3"/>
  <c r="D131" i="3"/>
  <c r="AA5" i="3" s="1"/>
  <c r="G131" i="3"/>
  <c r="AB131" i="3"/>
  <c r="C38" i="1"/>
  <c r="AB5" i="3" l="1"/>
  <c r="R80" i="3"/>
  <c r="S80" i="3"/>
  <c r="Q81" i="3"/>
  <c r="G80" i="3"/>
  <c r="F81" i="3"/>
  <c r="AB80" i="3"/>
  <c r="D80" i="3"/>
  <c r="R81" i="3"/>
  <c r="P82" i="3"/>
  <c r="AA131" i="3"/>
  <c r="L80" i="3"/>
  <c r="AA79" i="3"/>
  <c r="E131" i="3"/>
  <c r="F6" i="3"/>
  <c r="K5" i="3"/>
  <c r="C49" i="1"/>
  <c r="C63" i="1"/>
  <c r="M80" i="3" l="1"/>
  <c r="O80" i="3" s="1"/>
  <c r="N80" i="3"/>
  <c r="AA80" i="3"/>
  <c r="E80" i="3"/>
  <c r="P83" i="3"/>
  <c r="R82" i="3"/>
  <c r="F7" i="3"/>
  <c r="AB6" i="3"/>
  <c r="G6" i="3"/>
  <c r="S81" i="3"/>
  <c r="Q82" i="3"/>
  <c r="AB81" i="3"/>
  <c r="D81" i="3"/>
  <c r="G81" i="3"/>
  <c r="F82" i="3"/>
  <c r="L81" i="3"/>
  <c r="B126" i="1"/>
  <c r="B124" i="1"/>
  <c r="B121" i="1"/>
  <c r="B119" i="1"/>
  <c r="B116" i="1"/>
  <c r="B113" i="1"/>
  <c r="B111" i="1"/>
  <c r="B108" i="1"/>
  <c r="B101" i="1"/>
  <c r="B90" i="1"/>
  <c r="B88" i="1"/>
  <c r="B80" i="1"/>
  <c r="B78" i="1"/>
  <c r="B76" i="1"/>
  <c r="B74" i="1"/>
  <c r="B71" i="1"/>
  <c r="N81" i="3" l="1"/>
  <c r="M81" i="3"/>
  <c r="O81" i="3" s="1"/>
  <c r="F83" i="3"/>
  <c r="AB82" i="3"/>
  <c r="D82" i="3"/>
  <c r="G82" i="3"/>
  <c r="AA81" i="3"/>
  <c r="E81" i="3"/>
  <c r="D7" i="3"/>
  <c r="G7" i="3"/>
  <c r="F8" i="3"/>
  <c r="AB7" i="3"/>
  <c r="R83" i="3"/>
  <c r="P84" i="3"/>
  <c r="L83" i="3"/>
  <c r="Q83" i="3"/>
  <c r="S82" i="3"/>
  <c r="L82" i="3"/>
  <c r="C40" i="1"/>
  <c r="C18" i="1"/>
  <c r="C22" i="1" s="1"/>
  <c r="C21" i="1"/>
  <c r="C23" i="1" s="1"/>
  <c r="C19" i="1"/>
  <c r="C16" i="1"/>
  <c r="C12" i="1"/>
  <c r="C4" i="1"/>
  <c r="C41" i="1"/>
  <c r="C70" i="1"/>
  <c r="E7" i="3" l="1"/>
  <c r="AA7" i="3"/>
  <c r="S83" i="3"/>
  <c r="Q84" i="3"/>
  <c r="C65" i="1"/>
  <c r="P5" i="3"/>
  <c r="AA82" i="3"/>
  <c r="E82" i="3"/>
  <c r="M82" i="3"/>
  <c r="O82" i="3" s="1"/>
  <c r="N82" i="3"/>
  <c r="M83" i="3"/>
  <c r="O83" i="3" s="1"/>
  <c r="N83" i="3"/>
  <c r="D83" i="3"/>
  <c r="G83" i="3"/>
  <c r="F84" i="3"/>
  <c r="L84" i="3" s="1"/>
  <c r="AB83" i="3"/>
  <c r="F9" i="3"/>
  <c r="AB8" i="3"/>
  <c r="D8" i="3"/>
  <c r="G8" i="3"/>
  <c r="H5" i="3"/>
  <c r="C71" i="1"/>
  <c r="R84" i="3"/>
  <c r="P85" i="3"/>
  <c r="C5" i="3"/>
  <c r="C6" i="3"/>
  <c r="C8" i="3"/>
  <c r="C10" i="3"/>
  <c r="C12" i="3"/>
  <c r="C14" i="3"/>
  <c r="C16" i="3"/>
  <c r="C18" i="3"/>
  <c r="C20" i="3"/>
  <c r="C22" i="3"/>
  <c r="C24" i="3"/>
  <c r="C26" i="3"/>
  <c r="C28" i="3"/>
  <c r="C30" i="3"/>
  <c r="C32" i="3"/>
  <c r="C34" i="3"/>
  <c r="C36" i="3"/>
  <c r="C38" i="3"/>
  <c r="C9" i="3"/>
  <c r="C33" i="3"/>
  <c r="C19" i="3"/>
  <c r="C41" i="3"/>
  <c r="C43" i="3"/>
  <c r="C45" i="3"/>
  <c r="C47" i="3"/>
  <c r="C49" i="3"/>
  <c r="C51" i="3"/>
  <c r="C53" i="3"/>
  <c r="C55" i="3"/>
  <c r="C57" i="3"/>
  <c r="C59" i="3"/>
  <c r="C61" i="3"/>
  <c r="C63" i="3"/>
  <c r="C65" i="3"/>
  <c r="C67" i="3"/>
  <c r="C69" i="3"/>
  <c r="C29" i="3"/>
  <c r="C15" i="3"/>
  <c r="C39" i="3"/>
  <c r="C25" i="3"/>
  <c r="C11" i="3"/>
  <c r="C35" i="3"/>
  <c r="C21" i="3"/>
  <c r="C7" i="3"/>
  <c r="C31" i="3"/>
  <c r="C40" i="3"/>
  <c r="C42" i="3"/>
  <c r="C44" i="3"/>
  <c r="C46" i="3"/>
  <c r="C48" i="3"/>
  <c r="C50" i="3"/>
  <c r="C52" i="3"/>
  <c r="C54" i="3"/>
  <c r="C56" i="3"/>
  <c r="C58" i="3"/>
  <c r="C60" i="3"/>
  <c r="C62" i="3"/>
  <c r="C64" i="3"/>
  <c r="C66" i="3"/>
  <c r="C68" i="3"/>
  <c r="C70" i="3"/>
  <c r="C17" i="3"/>
  <c r="C27" i="3"/>
  <c r="C71" i="3"/>
  <c r="C73" i="3"/>
  <c r="C75" i="3"/>
  <c r="C77" i="3"/>
  <c r="C37" i="3"/>
  <c r="C13" i="3"/>
  <c r="C72" i="3"/>
  <c r="C74" i="3"/>
  <c r="C76" i="3"/>
  <c r="C78" i="3"/>
  <c r="D78" i="3"/>
  <c r="C23" i="3"/>
  <c r="D6" i="3"/>
  <c r="C72" i="1"/>
  <c r="C20" i="1"/>
  <c r="C24" i="1" s="1"/>
  <c r="C46" i="1"/>
  <c r="C50" i="1" s="1"/>
  <c r="C107" i="1"/>
  <c r="C108" i="1" s="1"/>
  <c r="M84" i="3" l="1"/>
  <c r="O84" i="3" s="1"/>
  <c r="N84" i="3"/>
  <c r="D9" i="3"/>
  <c r="G9" i="3"/>
  <c r="F10" i="3"/>
  <c r="AB9" i="3"/>
  <c r="AA8" i="3"/>
  <c r="E8" i="3"/>
  <c r="AA6" i="3"/>
  <c r="E6" i="3"/>
  <c r="Q5" i="3"/>
  <c r="R5" i="3"/>
  <c r="P6" i="3"/>
  <c r="J6" i="3"/>
  <c r="J82" i="3"/>
  <c r="J80" i="3"/>
  <c r="J83" i="3"/>
  <c r="J81" i="3"/>
  <c r="C73" i="1"/>
  <c r="C74" i="1" s="1"/>
  <c r="L5" i="3"/>
  <c r="S84" i="3"/>
  <c r="Q85" i="3"/>
  <c r="AA78" i="3"/>
  <c r="E78" i="3"/>
  <c r="R85" i="3"/>
  <c r="P86" i="3"/>
  <c r="E83" i="3"/>
  <c r="AA83" i="3"/>
  <c r="F85" i="3"/>
  <c r="AB84" i="3"/>
  <c r="D84" i="3"/>
  <c r="G84" i="3"/>
  <c r="J84" i="3" s="1"/>
  <c r="AC5" i="3"/>
  <c r="I5" i="3"/>
  <c r="AC79" i="3"/>
  <c r="C75" i="1"/>
  <c r="C87" i="1"/>
  <c r="C88" i="1" s="1"/>
  <c r="C109" i="1"/>
  <c r="C114" i="1" s="1"/>
  <c r="C115" i="1" s="1"/>
  <c r="C116" i="1" s="1"/>
  <c r="C112" i="1"/>
  <c r="C113" i="1" s="1"/>
  <c r="K84" i="3" l="1"/>
  <c r="AD84" i="3"/>
  <c r="H84" i="3"/>
  <c r="AA84" i="3"/>
  <c r="E84" i="3"/>
  <c r="S85" i="3"/>
  <c r="Q86" i="3"/>
  <c r="F11" i="3"/>
  <c r="AB10" i="3"/>
  <c r="D10" i="3"/>
  <c r="G10" i="3"/>
  <c r="AE5" i="3"/>
  <c r="M5" i="3"/>
  <c r="O5" i="3" s="1"/>
  <c r="N5" i="3"/>
  <c r="AE79" i="3"/>
  <c r="AE80" i="3"/>
  <c r="AE81" i="3"/>
  <c r="AE83" i="3"/>
  <c r="AE82" i="3"/>
  <c r="G85" i="3"/>
  <c r="J85" i="3" s="1"/>
  <c r="F86" i="3"/>
  <c r="AB85" i="3"/>
  <c r="D85" i="3"/>
  <c r="L85" i="3"/>
  <c r="C76" i="1"/>
  <c r="T5" i="3"/>
  <c r="K6" i="3"/>
  <c r="AD6" i="3"/>
  <c r="H6" i="3"/>
  <c r="E9" i="3"/>
  <c r="AA9" i="3"/>
  <c r="R86" i="3"/>
  <c r="P87" i="3"/>
  <c r="L86" i="3"/>
  <c r="P7" i="3"/>
  <c r="L6" i="3"/>
  <c r="R6" i="3"/>
  <c r="AE84" i="3"/>
  <c r="AD81" i="3"/>
  <c r="H81" i="3"/>
  <c r="K81" i="3"/>
  <c r="H80" i="3"/>
  <c r="K80" i="3"/>
  <c r="AD80" i="3"/>
  <c r="K82" i="3"/>
  <c r="AD82" i="3"/>
  <c r="H82" i="3"/>
  <c r="AD83" i="3"/>
  <c r="H83" i="3"/>
  <c r="K83" i="3"/>
  <c r="S5" i="3"/>
  <c r="Q6" i="3"/>
  <c r="C118" i="1"/>
  <c r="C119" i="1" s="1"/>
  <c r="C110" i="1"/>
  <c r="C111" i="1" s="1"/>
  <c r="P88" i="3" l="1"/>
  <c r="R87" i="3"/>
  <c r="AA10" i="3"/>
  <c r="E10" i="3"/>
  <c r="AC6" i="3"/>
  <c r="T6" i="3"/>
  <c r="I6" i="3"/>
  <c r="M86" i="3"/>
  <c r="O86" i="3" s="1"/>
  <c r="N86" i="3"/>
  <c r="AE86" i="3"/>
  <c r="AB86" i="3"/>
  <c r="D86" i="3"/>
  <c r="G86" i="3"/>
  <c r="J86" i="3" s="1"/>
  <c r="F87" i="3"/>
  <c r="L87" i="3" s="1"/>
  <c r="AC81" i="3"/>
  <c r="T81" i="3"/>
  <c r="I81" i="3"/>
  <c r="V81" i="3"/>
  <c r="AF5" i="3"/>
  <c r="U5" i="3"/>
  <c r="AF79" i="3"/>
  <c r="V5" i="3"/>
  <c r="AC84" i="3"/>
  <c r="T84" i="3"/>
  <c r="V84" i="3" s="1"/>
  <c r="I84" i="3"/>
  <c r="H85" i="3"/>
  <c r="K85" i="3"/>
  <c r="AD85" i="3"/>
  <c r="D11" i="3"/>
  <c r="G11" i="3"/>
  <c r="F12" i="3"/>
  <c r="AB11" i="3"/>
  <c r="M6" i="3"/>
  <c r="O6" i="3" s="1"/>
  <c r="N6" i="3"/>
  <c r="AE6" i="3"/>
  <c r="AE85" i="3"/>
  <c r="M85" i="3"/>
  <c r="O85" i="3" s="1"/>
  <c r="N85" i="3"/>
  <c r="T80" i="3"/>
  <c r="I80" i="3"/>
  <c r="V80" i="3"/>
  <c r="AC80" i="3"/>
  <c r="S86" i="3"/>
  <c r="Q87" i="3"/>
  <c r="Q7" i="3"/>
  <c r="S6" i="3"/>
  <c r="AC83" i="3"/>
  <c r="T83" i="3"/>
  <c r="V83" i="3" s="1"/>
  <c r="I83" i="3"/>
  <c r="I82" i="3"/>
  <c r="AC82" i="3"/>
  <c r="T82" i="3"/>
  <c r="R7" i="3"/>
  <c r="P8" i="3"/>
  <c r="L7" i="3"/>
  <c r="J7" i="3"/>
  <c r="AA85" i="3"/>
  <c r="E85" i="3"/>
  <c r="C120" i="1"/>
  <c r="C125" i="1" s="1"/>
  <c r="C126" i="1" s="1"/>
  <c r="C77" i="1"/>
  <c r="C79" i="1" s="1"/>
  <c r="C80" i="1" s="1"/>
  <c r="C66" i="1"/>
  <c r="M87" i="3" l="1"/>
  <c r="O87" i="3" s="1"/>
  <c r="N87" i="3"/>
  <c r="AE87" i="3"/>
  <c r="U82" i="3"/>
  <c r="AF82" i="3"/>
  <c r="AF6" i="3"/>
  <c r="U6" i="3"/>
  <c r="V6" i="3"/>
  <c r="E11" i="3"/>
  <c r="AA11" i="3"/>
  <c r="AF80" i="3"/>
  <c r="U80" i="3"/>
  <c r="AF81" i="3"/>
  <c r="U81" i="3"/>
  <c r="AF83" i="3"/>
  <c r="U83" i="3"/>
  <c r="AD7" i="3"/>
  <c r="H7" i="3"/>
  <c r="K7" i="3"/>
  <c r="AF84" i="3"/>
  <c r="U84" i="3"/>
  <c r="V82" i="3"/>
  <c r="W83" i="3"/>
  <c r="X83" i="3"/>
  <c r="T85" i="3"/>
  <c r="I85" i="3"/>
  <c r="V85" i="3"/>
  <c r="AC85" i="3"/>
  <c r="AE7" i="3"/>
  <c r="M7" i="3"/>
  <c r="O7" i="3" s="1"/>
  <c r="N7" i="3"/>
  <c r="W81" i="3"/>
  <c r="X81" i="3"/>
  <c r="W84" i="3"/>
  <c r="X84" i="3"/>
  <c r="AD86" i="3"/>
  <c r="H86" i="3"/>
  <c r="K86" i="3"/>
  <c r="S7" i="3"/>
  <c r="Q8" i="3"/>
  <c r="W5" i="3"/>
  <c r="X5" i="3"/>
  <c r="W80" i="3"/>
  <c r="X80" i="3"/>
  <c r="F88" i="3"/>
  <c r="L88" i="3" s="1"/>
  <c r="AB87" i="3"/>
  <c r="D87" i="3"/>
  <c r="G87" i="3"/>
  <c r="J87" i="3" s="1"/>
  <c r="AA86" i="3"/>
  <c r="E86" i="3"/>
  <c r="P9" i="3"/>
  <c r="L8" i="3"/>
  <c r="R8" i="3"/>
  <c r="J8" i="3"/>
  <c r="Q88" i="3"/>
  <c r="S87" i="3"/>
  <c r="F13" i="3"/>
  <c r="AB12" i="3"/>
  <c r="D12" i="3"/>
  <c r="G12" i="3"/>
  <c r="R88" i="3"/>
  <c r="P89" i="3"/>
  <c r="C121" i="1"/>
  <c r="C89" i="1"/>
  <c r="C90" i="1" s="1"/>
  <c r="C78" i="1"/>
  <c r="AE88" i="3" l="1"/>
  <c r="M88" i="3"/>
  <c r="O88" i="3" s="1"/>
  <c r="N88" i="3"/>
  <c r="D13" i="3"/>
  <c r="G13" i="3"/>
  <c r="F14" i="3"/>
  <c r="AB13" i="3"/>
  <c r="W82" i="3"/>
  <c r="X82" i="3"/>
  <c r="AG81" i="3"/>
  <c r="Y81" i="3"/>
  <c r="R9" i="3"/>
  <c r="P10" i="3"/>
  <c r="L9" i="3"/>
  <c r="J9" i="3"/>
  <c r="AA87" i="3"/>
  <c r="E87" i="3"/>
  <c r="AG83" i="3"/>
  <c r="Y83" i="3"/>
  <c r="AG80" i="3"/>
  <c r="Y80" i="3"/>
  <c r="K8" i="3"/>
  <c r="AD8" i="3"/>
  <c r="H8" i="3"/>
  <c r="AG5" i="3"/>
  <c r="Y5" i="3"/>
  <c r="AG79" i="3"/>
  <c r="M8" i="3"/>
  <c r="O8" i="3" s="1"/>
  <c r="N8" i="3"/>
  <c r="AE8" i="3"/>
  <c r="W85" i="3"/>
  <c r="X85" i="3"/>
  <c r="W6" i="3"/>
  <c r="X6" i="3"/>
  <c r="AC7" i="3"/>
  <c r="T7" i="3"/>
  <c r="V7" i="3" s="1"/>
  <c r="I7" i="3"/>
  <c r="R89" i="3"/>
  <c r="P90" i="3"/>
  <c r="Q9" i="3"/>
  <c r="S8" i="3"/>
  <c r="Y84" i="3"/>
  <c r="AG84" i="3"/>
  <c r="AB88" i="3"/>
  <c r="D88" i="3"/>
  <c r="G88" i="3"/>
  <c r="J88" i="3" s="1"/>
  <c r="F89" i="3"/>
  <c r="L89" i="3" s="1"/>
  <c r="S88" i="3"/>
  <c r="Q89" i="3"/>
  <c r="AA12" i="3"/>
  <c r="E12" i="3"/>
  <c r="H87" i="3"/>
  <c r="K87" i="3"/>
  <c r="AD87" i="3"/>
  <c r="AC86" i="3"/>
  <c r="T86" i="3"/>
  <c r="V86" i="3" s="1"/>
  <c r="I86" i="3"/>
  <c r="AF85" i="3"/>
  <c r="U85" i="3"/>
  <c r="C100" i="1"/>
  <c r="C123" i="1" s="1"/>
  <c r="C124" i="1" s="1"/>
  <c r="W86" i="3" l="1"/>
  <c r="X86" i="3"/>
  <c r="T87" i="3"/>
  <c r="I87" i="3"/>
  <c r="V87" i="3"/>
  <c r="AC87" i="3"/>
  <c r="F15" i="3"/>
  <c r="AB14" i="3"/>
  <c r="D14" i="3"/>
  <c r="G14" i="3"/>
  <c r="E13" i="3"/>
  <c r="AA13" i="3"/>
  <c r="AG85" i="3"/>
  <c r="Y85" i="3"/>
  <c r="Q90" i="3"/>
  <c r="S89" i="3"/>
  <c r="M89" i="3"/>
  <c r="O89" i="3" s="1"/>
  <c r="N89" i="3"/>
  <c r="AE89" i="3"/>
  <c r="F90" i="3"/>
  <c r="AB89" i="3"/>
  <c r="D89" i="3"/>
  <c r="G89" i="3"/>
  <c r="J89" i="3" s="1"/>
  <c r="W7" i="3"/>
  <c r="X7" i="3"/>
  <c r="AE9" i="3"/>
  <c r="M9" i="3"/>
  <c r="O9" i="3" s="1"/>
  <c r="N9" i="3"/>
  <c r="Y6" i="3"/>
  <c r="AG6" i="3"/>
  <c r="AD9" i="3"/>
  <c r="H9" i="3"/>
  <c r="K9" i="3"/>
  <c r="AD88" i="3"/>
  <c r="H88" i="3"/>
  <c r="K88" i="3"/>
  <c r="P11" i="3"/>
  <c r="L10" i="3"/>
  <c r="R10" i="3"/>
  <c r="J10" i="3"/>
  <c r="Y82" i="3"/>
  <c r="AG82" i="3"/>
  <c r="S9" i="3"/>
  <c r="Q10" i="3"/>
  <c r="R90" i="3"/>
  <c r="P91" i="3"/>
  <c r="AF86" i="3"/>
  <c r="U86" i="3"/>
  <c r="E88" i="3"/>
  <c r="AA88" i="3"/>
  <c r="AF7" i="3"/>
  <c r="U7" i="3"/>
  <c r="AC8" i="3"/>
  <c r="T8" i="3"/>
  <c r="V8" i="3" s="1"/>
  <c r="I8" i="3"/>
  <c r="C101" i="1"/>
  <c r="W8" i="3" l="1"/>
  <c r="X8" i="3"/>
  <c r="Q11" i="3"/>
  <c r="S10" i="3"/>
  <c r="AA89" i="3"/>
  <c r="E89" i="3"/>
  <c r="D15" i="3"/>
  <c r="G15" i="3"/>
  <c r="F16" i="3"/>
  <c r="AB15" i="3"/>
  <c r="AA14" i="3"/>
  <c r="E14" i="3"/>
  <c r="G90" i="3"/>
  <c r="J90" i="3" s="1"/>
  <c r="F91" i="3"/>
  <c r="D90" i="3"/>
  <c r="AB90" i="3"/>
  <c r="K10" i="3"/>
  <c r="AD10" i="3"/>
  <c r="H10" i="3"/>
  <c r="M10" i="3"/>
  <c r="O10" i="3" s="1"/>
  <c r="N10" i="3"/>
  <c r="AE10" i="3"/>
  <c r="W87" i="3"/>
  <c r="X87" i="3"/>
  <c r="AG7" i="3"/>
  <c r="Y7" i="3"/>
  <c r="U87" i="3"/>
  <c r="AF87" i="3"/>
  <c r="L91" i="3"/>
  <c r="R91" i="3"/>
  <c r="P92" i="3"/>
  <c r="AC9" i="3"/>
  <c r="T9" i="3"/>
  <c r="I9" i="3"/>
  <c r="S90" i="3"/>
  <c r="Q91" i="3"/>
  <c r="R11" i="3"/>
  <c r="P12" i="3"/>
  <c r="L11" i="3"/>
  <c r="J11" i="3"/>
  <c r="Y86" i="3"/>
  <c r="AG86" i="3"/>
  <c r="AF8" i="3"/>
  <c r="U8" i="3"/>
  <c r="L90" i="3"/>
  <c r="AC88" i="3"/>
  <c r="T88" i="3"/>
  <c r="V88" i="3" s="1"/>
  <c r="I88" i="3"/>
  <c r="K89" i="3"/>
  <c r="AD89" i="3"/>
  <c r="H89" i="3"/>
  <c r="M91" i="3" l="1"/>
  <c r="O91" i="3" s="1"/>
  <c r="N91" i="3"/>
  <c r="AE91" i="3"/>
  <c r="P13" i="3"/>
  <c r="L12" i="3"/>
  <c r="R12" i="3"/>
  <c r="J12" i="3"/>
  <c r="AF9" i="3"/>
  <c r="U9" i="3"/>
  <c r="F17" i="3"/>
  <c r="AB16" i="3"/>
  <c r="D16" i="3"/>
  <c r="G16" i="3"/>
  <c r="P93" i="3"/>
  <c r="R92" i="3"/>
  <c r="AD11" i="3"/>
  <c r="H11" i="3"/>
  <c r="K11" i="3"/>
  <c r="E90" i="3"/>
  <c r="AA90" i="3"/>
  <c r="AF88" i="3"/>
  <c r="U88" i="3"/>
  <c r="AB91" i="3"/>
  <c r="D91" i="3"/>
  <c r="G91" i="3"/>
  <c r="J91" i="3" s="1"/>
  <c r="F92" i="3"/>
  <c r="L92" i="3" s="1"/>
  <c r="S11" i="3"/>
  <c r="Q12" i="3"/>
  <c r="AC10" i="3"/>
  <c r="T10" i="3"/>
  <c r="V10" i="3" s="1"/>
  <c r="I10" i="3"/>
  <c r="AC89" i="3"/>
  <c r="I89" i="3"/>
  <c r="T89" i="3"/>
  <c r="AE11" i="3"/>
  <c r="M11" i="3"/>
  <c r="O11" i="3" s="1"/>
  <c r="N11" i="3"/>
  <c r="W88" i="3"/>
  <c r="X88" i="3"/>
  <c r="AD90" i="3"/>
  <c r="H90" i="3"/>
  <c r="K90" i="3"/>
  <c r="Y8" i="3"/>
  <c r="AG8" i="3"/>
  <c r="E15" i="3"/>
  <c r="AA15" i="3"/>
  <c r="S91" i="3"/>
  <c r="Q92" i="3"/>
  <c r="V9" i="3"/>
  <c r="AG87" i="3"/>
  <c r="Y87" i="3"/>
  <c r="AE90" i="3"/>
  <c r="M90" i="3"/>
  <c r="O90" i="3" s="1"/>
  <c r="N90" i="3"/>
  <c r="W10" i="3" l="1"/>
  <c r="X10" i="3"/>
  <c r="M92" i="3"/>
  <c r="O92" i="3" s="1"/>
  <c r="N92" i="3"/>
  <c r="AE92" i="3"/>
  <c r="AG88" i="3"/>
  <c r="Y88" i="3"/>
  <c r="T90" i="3"/>
  <c r="V90" i="3" s="1"/>
  <c r="I90" i="3"/>
  <c r="AC90" i="3"/>
  <c r="W9" i="3"/>
  <c r="X9" i="3"/>
  <c r="AF89" i="3"/>
  <c r="U89" i="3"/>
  <c r="R13" i="3"/>
  <c r="P14" i="3"/>
  <c r="L13" i="3"/>
  <c r="J13" i="3"/>
  <c r="AC11" i="3"/>
  <c r="T11" i="3"/>
  <c r="I11" i="3"/>
  <c r="V11" i="3"/>
  <c r="S92" i="3"/>
  <c r="Q93" i="3"/>
  <c r="G92" i="3"/>
  <c r="J92" i="3" s="1"/>
  <c r="F93" i="3"/>
  <c r="AB92" i="3"/>
  <c r="D92" i="3"/>
  <c r="M12" i="3"/>
  <c r="O12" i="3" s="1"/>
  <c r="N12" i="3"/>
  <c r="AE12" i="3"/>
  <c r="R93" i="3"/>
  <c r="P94" i="3"/>
  <c r="L93" i="3"/>
  <c r="D17" i="3"/>
  <c r="G17" i="3"/>
  <c r="F18" i="3"/>
  <c r="AB17" i="3"/>
  <c r="Q13" i="3"/>
  <c r="S12" i="3"/>
  <c r="AD91" i="3"/>
  <c r="H91" i="3"/>
  <c r="K91" i="3"/>
  <c r="AF10" i="3"/>
  <c r="U10" i="3"/>
  <c r="K12" i="3"/>
  <c r="AD12" i="3"/>
  <c r="H12" i="3"/>
  <c r="AA91" i="3"/>
  <c r="E91" i="3"/>
  <c r="V89" i="3"/>
  <c r="AA16" i="3"/>
  <c r="E16" i="3"/>
  <c r="AF11" i="3" l="1"/>
  <c r="U11" i="3"/>
  <c r="W89" i="3"/>
  <c r="X89" i="3"/>
  <c r="N93" i="3"/>
  <c r="AE93" i="3"/>
  <c r="M93" i="3"/>
  <c r="O93" i="3" s="1"/>
  <c r="AC91" i="3"/>
  <c r="T91" i="3"/>
  <c r="V91" i="3" s="1"/>
  <c r="I91" i="3"/>
  <c r="AD13" i="3"/>
  <c r="H13" i="3"/>
  <c r="K13" i="3"/>
  <c r="AC12" i="3"/>
  <c r="T12" i="3"/>
  <c r="I12" i="3"/>
  <c r="AA92" i="3"/>
  <c r="E92" i="3"/>
  <c r="AB93" i="3"/>
  <c r="D93" i="3"/>
  <c r="G93" i="3"/>
  <c r="J93" i="3" s="1"/>
  <c r="F94" i="3"/>
  <c r="L94" i="3" s="1"/>
  <c r="P95" i="3"/>
  <c r="R94" i="3"/>
  <c r="W90" i="3"/>
  <c r="X90" i="3"/>
  <c r="AF90" i="3"/>
  <c r="U90" i="3"/>
  <c r="S13" i="3"/>
  <c r="Q14" i="3"/>
  <c r="F19" i="3"/>
  <c r="AB18" i="3"/>
  <c r="D18" i="3"/>
  <c r="G18" i="3"/>
  <c r="E17" i="3"/>
  <c r="AA17" i="3"/>
  <c r="Y10" i="3"/>
  <c r="AG10" i="3"/>
  <c r="W11" i="3"/>
  <c r="X11" i="3"/>
  <c r="AE13" i="3"/>
  <c r="M13" i="3"/>
  <c r="O13" i="3" s="1"/>
  <c r="N13" i="3"/>
  <c r="P15" i="3"/>
  <c r="L14" i="3"/>
  <c r="R14" i="3"/>
  <c r="J14" i="3"/>
  <c r="H92" i="3"/>
  <c r="K92" i="3"/>
  <c r="AD92" i="3"/>
  <c r="S93" i="3"/>
  <c r="Q94" i="3"/>
  <c r="AG9" i="3"/>
  <c r="Y9" i="3"/>
  <c r="M94" i="3" l="1"/>
  <c r="O94" i="3" s="1"/>
  <c r="N94" i="3"/>
  <c r="AE94" i="3"/>
  <c r="AD93" i="3"/>
  <c r="H93" i="3"/>
  <c r="K93" i="3"/>
  <c r="AG11" i="3"/>
  <c r="Y11" i="3"/>
  <c r="W91" i="3"/>
  <c r="X91" i="3"/>
  <c r="AF91" i="3"/>
  <c r="U91" i="3"/>
  <c r="T92" i="3"/>
  <c r="I92" i="3"/>
  <c r="V92" i="3"/>
  <c r="AC92" i="3"/>
  <c r="Y89" i="3"/>
  <c r="AG89" i="3"/>
  <c r="Q15" i="3"/>
  <c r="S14" i="3"/>
  <c r="Q95" i="3"/>
  <c r="S94" i="3"/>
  <c r="AG90" i="3"/>
  <c r="Y90" i="3"/>
  <c r="AF12" i="3"/>
  <c r="U12" i="3"/>
  <c r="AA93" i="3"/>
  <c r="E93" i="3"/>
  <c r="M14" i="3"/>
  <c r="O14" i="3" s="1"/>
  <c r="N14" i="3"/>
  <c r="AE14" i="3"/>
  <c r="V12" i="3"/>
  <c r="R15" i="3"/>
  <c r="P16" i="3"/>
  <c r="L15" i="3"/>
  <c r="J15" i="3"/>
  <c r="R95" i="3"/>
  <c r="P96" i="3"/>
  <c r="F95" i="3"/>
  <c r="L95" i="3" s="1"/>
  <c r="AB94" i="3"/>
  <c r="D94" i="3"/>
  <c r="G94" i="3"/>
  <c r="J94" i="3" s="1"/>
  <c r="K14" i="3"/>
  <c r="AD14" i="3"/>
  <c r="H14" i="3"/>
  <c r="AA18" i="3"/>
  <c r="E18" i="3"/>
  <c r="D19" i="3"/>
  <c r="G19" i="3"/>
  <c r="F20" i="3"/>
  <c r="AB19" i="3"/>
  <c r="AC13" i="3"/>
  <c r="T13" i="3"/>
  <c r="I13" i="3"/>
  <c r="V13" i="3"/>
  <c r="AE95" i="3" l="1"/>
  <c r="M95" i="3"/>
  <c r="O95" i="3" s="1"/>
  <c r="N95" i="3"/>
  <c r="AD15" i="3"/>
  <c r="H15" i="3"/>
  <c r="K15" i="3"/>
  <c r="K94" i="3"/>
  <c r="AD94" i="3"/>
  <c r="H94" i="3"/>
  <c r="S95" i="3"/>
  <c r="Q96" i="3"/>
  <c r="S15" i="3"/>
  <c r="Q16" i="3"/>
  <c r="AE15" i="3"/>
  <c r="M15" i="3"/>
  <c r="O15" i="3" s="1"/>
  <c r="N15" i="3"/>
  <c r="P17" i="3"/>
  <c r="L16" i="3"/>
  <c r="R16" i="3"/>
  <c r="J16" i="3"/>
  <c r="Y91" i="3"/>
  <c r="AG91" i="3"/>
  <c r="W12" i="3"/>
  <c r="X12" i="3"/>
  <c r="AC14" i="3"/>
  <c r="T14" i="3"/>
  <c r="I14" i="3"/>
  <c r="W13" i="3"/>
  <c r="X13" i="3"/>
  <c r="AF13" i="3"/>
  <c r="U13" i="3"/>
  <c r="F21" i="3"/>
  <c r="AB20" i="3"/>
  <c r="D20" i="3"/>
  <c r="G20" i="3"/>
  <c r="E19" i="3"/>
  <c r="AA19" i="3"/>
  <c r="R96" i="3"/>
  <c r="P97" i="3"/>
  <c r="AA94" i="3"/>
  <c r="E94" i="3"/>
  <c r="D95" i="3"/>
  <c r="G95" i="3"/>
  <c r="J95" i="3" s="1"/>
  <c r="F96" i="3"/>
  <c r="AB95" i="3"/>
  <c r="AC93" i="3"/>
  <c r="T93" i="3"/>
  <c r="V93" i="3" s="1"/>
  <c r="I93" i="3"/>
  <c r="W92" i="3"/>
  <c r="X92" i="3"/>
  <c r="AF92" i="3"/>
  <c r="U92" i="3"/>
  <c r="Y12" i="3" l="1"/>
  <c r="AG12" i="3"/>
  <c r="F97" i="3"/>
  <c r="L97" i="3" s="1"/>
  <c r="AB96" i="3"/>
  <c r="D96" i="3"/>
  <c r="G96" i="3"/>
  <c r="J96" i="3" s="1"/>
  <c r="K16" i="3"/>
  <c r="AD16" i="3"/>
  <c r="H16" i="3"/>
  <c r="AA20" i="3"/>
  <c r="E20" i="3"/>
  <c r="S96" i="3"/>
  <c r="Q97" i="3"/>
  <c r="W93" i="3"/>
  <c r="X93" i="3"/>
  <c r="AD95" i="3"/>
  <c r="H95" i="3"/>
  <c r="K95" i="3"/>
  <c r="D21" i="3"/>
  <c r="G21" i="3"/>
  <c r="F22" i="3"/>
  <c r="AB21" i="3"/>
  <c r="R97" i="3"/>
  <c r="P98" i="3"/>
  <c r="AG13" i="3"/>
  <c r="Y13" i="3"/>
  <c r="R17" i="3"/>
  <c r="P18" i="3"/>
  <c r="L17" i="3"/>
  <c r="J17" i="3"/>
  <c r="L96" i="3"/>
  <c r="E95" i="3"/>
  <c r="AA95" i="3"/>
  <c r="AG92" i="3"/>
  <c r="Y92" i="3"/>
  <c r="AC15" i="3"/>
  <c r="T15" i="3"/>
  <c r="I15" i="3"/>
  <c r="V15" i="3"/>
  <c r="AF14" i="3"/>
  <c r="U14" i="3"/>
  <c r="I94" i="3"/>
  <c r="AC94" i="3"/>
  <c r="T94" i="3"/>
  <c r="V94" i="3" s="1"/>
  <c r="M16" i="3"/>
  <c r="O16" i="3" s="1"/>
  <c r="N16" i="3"/>
  <c r="AE16" i="3"/>
  <c r="AF93" i="3"/>
  <c r="U93" i="3"/>
  <c r="V14" i="3"/>
  <c r="Q17" i="3"/>
  <c r="S16" i="3"/>
  <c r="F23" i="3" l="1"/>
  <c r="AB22" i="3"/>
  <c r="D22" i="3"/>
  <c r="G22" i="3"/>
  <c r="AD17" i="3"/>
  <c r="H17" i="3"/>
  <c r="K17" i="3"/>
  <c r="M96" i="3"/>
  <c r="O96" i="3" s="1"/>
  <c r="N96" i="3"/>
  <c r="AE96" i="3"/>
  <c r="AE17" i="3"/>
  <c r="M17" i="3"/>
  <c r="O17" i="3" s="1"/>
  <c r="N17" i="3"/>
  <c r="S17" i="3"/>
  <c r="Q18" i="3"/>
  <c r="W94" i="3"/>
  <c r="X94" i="3"/>
  <c r="AC16" i="3"/>
  <c r="T16" i="3"/>
  <c r="V16" i="3" s="1"/>
  <c r="I16" i="3"/>
  <c r="P19" i="3"/>
  <c r="L18" i="3"/>
  <c r="R18" i="3"/>
  <c r="J18" i="3"/>
  <c r="W14" i="3"/>
  <c r="X14" i="3"/>
  <c r="E21" i="3"/>
  <c r="AA21" i="3"/>
  <c r="W15" i="3"/>
  <c r="X15" i="3"/>
  <c r="AC95" i="3"/>
  <c r="T95" i="3"/>
  <c r="I95" i="3"/>
  <c r="V95" i="3"/>
  <c r="G97" i="3"/>
  <c r="J97" i="3" s="1"/>
  <c r="F98" i="3"/>
  <c r="AB97" i="3"/>
  <c r="D97" i="3"/>
  <c r="K96" i="3"/>
  <c r="AD96" i="3"/>
  <c r="H96" i="3"/>
  <c r="AF15" i="3"/>
  <c r="U15" i="3"/>
  <c r="R98" i="3"/>
  <c r="P99" i="3"/>
  <c r="L98" i="3"/>
  <c r="S97" i="3"/>
  <c r="Q98" i="3"/>
  <c r="AA96" i="3"/>
  <c r="E96" i="3"/>
  <c r="AG93" i="3"/>
  <c r="Y93" i="3"/>
  <c r="AE97" i="3"/>
  <c r="M97" i="3"/>
  <c r="O97" i="3" s="1"/>
  <c r="N97" i="3"/>
  <c r="U94" i="3"/>
  <c r="AF94" i="3"/>
  <c r="W16" i="3" l="1"/>
  <c r="X16" i="3"/>
  <c r="P100" i="3"/>
  <c r="R99" i="3"/>
  <c r="AC96" i="3"/>
  <c r="T96" i="3"/>
  <c r="I96" i="3"/>
  <c r="W95" i="3"/>
  <c r="X95" i="3"/>
  <c r="AG15" i="3"/>
  <c r="Y15" i="3"/>
  <c r="AA22" i="3"/>
  <c r="E22" i="3"/>
  <c r="AF16" i="3"/>
  <c r="U16" i="3"/>
  <c r="AA97" i="3"/>
  <c r="E97" i="3"/>
  <c r="S98" i="3"/>
  <c r="Q99" i="3"/>
  <c r="Y14" i="3"/>
  <c r="AG14" i="3"/>
  <c r="AF95" i="3"/>
  <c r="U95" i="3"/>
  <c r="AC17" i="3"/>
  <c r="T17" i="3"/>
  <c r="I17" i="3"/>
  <c r="Y94" i="3"/>
  <c r="AG94" i="3"/>
  <c r="Q19" i="3"/>
  <c r="S18" i="3"/>
  <c r="AB98" i="3"/>
  <c r="D98" i="3"/>
  <c r="G98" i="3"/>
  <c r="J98" i="3" s="1"/>
  <c r="F99" i="3"/>
  <c r="L99" i="3" s="1"/>
  <c r="K18" i="3"/>
  <c r="AD18" i="3"/>
  <c r="H18" i="3"/>
  <c r="D23" i="3"/>
  <c r="G23" i="3"/>
  <c r="F24" i="3"/>
  <c r="AB23" i="3"/>
  <c r="M18" i="3"/>
  <c r="O18" i="3" s="1"/>
  <c r="N18" i="3"/>
  <c r="AE18" i="3"/>
  <c r="R19" i="3"/>
  <c r="P20" i="3"/>
  <c r="L19" i="3"/>
  <c r="J19" i="3"/>
  <c r="M98" i="3"/>
  <c r="O98" i="3" s="1"/>
  <c r="N98" i="3"/>
  <c r="AE98" i="3"/>
  <c r="H97" i="3"/>
  <c r="K97" i="3"/>
  <c r="AD97" i="3"/>
  <c r="F25" i="3" l="1"/>
  <c r="AB24" i="3"/>
  <c r="D24" i="3"/>
  <c r="G24" i="3"/>
  <c r="AF96" i="3"/>
  <c r="U96" i="3"/>
  <c r="AA98" i="3"/>
  <c r="E98" i="3"/>
  <c r="E23" i="3"/>
  <c r="AA23" i="3"/>
  <c r="AF17" i="3"/>
  <c r="U17" i="3"/>
  <c r="T97" i="3"/>
  <c r="I97" i="3"/>
  <c r="V97" i="3"/>
  <c r="AC97" i="3"/>
  <c r="Q100" i="3"/>
  <c r="S99" i="3"/>
  <c r="S19" i="3"/>
  <c r="Q20" i="3"/>
  <c r="V96" i="3"/>
  <c r="AC18" i="3"/>
  <c r="T18" i="3"/>
  <c r="V18" i="3" s="1"/>
  <c r="I18" i="3"/>
  <c r="R100" i="3"/>
  <c r="P101" i="3"/>
  <c r="L100" i="3"/>
  <c r="AD19" i="3"/>
  <c r="H19" i="3"/>
  <c r="K19" i="3"/>
  <c r="AE19" i="3"/>
  <c r="M19" i="3"/>
  <c r="O19" i="3" s="1"/>
  <c r="N19" i="3"/>
  <c r="M99" i="3"/>
  <c r="O99" i="3" s="1"/>
  <c r="N99" i="3"/>
  <c r="AE99" i="3"/>
  <c r="F100" i="3"/>
  <c r="AB99" i="3"/>
  <c r="D99" i="3"/>
  <c r="G99" i="3"/>
  <c r="J99" i="3" s="1"/>
  <c r="Y16" i="3"/>
  <c r="AG16" i="3"/>
  <c r="AG95" i="3"/>
  <c r="Y95" i="3"/>
  <c r="V17" i="3"/>
  <c r="P21" i="3"/>
  <c r="L20" i="3"/>
  <c r="R20" i="3"/>
  <c r="J20" i="3"/>
  <c r="AD98" i="3"/>
  <c r="H98" i="3"/>
  <c r="K98" i="3"/>
  <c r="W96" i="3" l="1"/>
  <c r="X96" i="3"/>
  <c r="W18" i="3"/>
  <c r="X18" i="3"/>
  <c r="Q21" i="3"/>
  <c r="S20" i="3"/>
  <c r="AC19" i="3"/>
  <c r="T19" i="3"/>
  <c r="I19" i="3"/>
  <c r="V19" i="3"/>
  <c r="AA24" i="3"/>
  <c r="E24" i="3"/>
  <c r="AA99" i="3"/>
  <c r="E99" i="3"/>
  <c r="AB100" i="3"/>
  <c r="D100" i="3"/>
  <c r="G100" i="3"/>
  <c r="J100" i="3" s="1"/>
  <c r="F101" i="3"/>
  <c r="L101" i="3"/>
  <c r="R101" i="3"/>
  <c r="P102" i="3"/>
  <c r="H99" i="3"/>
  <c r="K99" i="3"/>
  <c r="AD99" i="3"/>
  <c r="S100" i="3"/>
  <c r="Q101" i="3"/>
  <c r="AE100" i="3"/>
  <c r="M100" i="3"/>
  <c r="O100" i="3" s="1"/>
  <c r="N100" i="3"/>
  <c r="W97" i="3"/>
  <c r="X97" i="3"/>
  <c r="R21" i="3"/>
  <c r="P22" i="3"/>
  <c r="L21" i="3"/>
  <c r="J21" i="3"/>
  <c r="AF97" i="3"/>
  <c r="U97" i="3"/>
  <c r="D25" i="3"/>
  <c r="G25" i="3"/>
  <c r="F26" i="3"/>
  <c r="AB25" i="3"/>
  <c r="AC98" i="3"/>
  <c r="T98" i="3"/>
  <c r="I98" i="3"/>
  <c r="K20" i="3"/>
  <c r="AD20" i="3"/>
  <c r="H20" i="3"/>
  <c r="M20" i="3"/>
  <c r="O20" i="3" s="1"/>
  <c r="N20" i="3"/>
  <c r="AE20" i="3"/>
  <c r="W17" i="3"/>
  <c r="X17" i="3"/>
  <c r="AF18" i="3"/>
  <c r="U18" i="3"/>
  <c r="T99" i="3" l="1"/>
  <c r="I99" i="3"/>
  <c r="V99" i="3"/>
  <c r="AC99" i="3"/>
  <c r="P23" i="3"/>
  <c r="L22" i="3"/>
  <c r="R22" i="3"/>
  <c r="J22" i="3"/>
  <c r="AF98" i="3"/>
  <c r="U98" i="3"/>
  <c r="V98" i="3"/>
  <c r="M101" i="3"/>
  <c r="O101" i="3" s="1"/>
  <c r="N101" i="3"/>
  <c r="AE101" i="3"/>
  <c r="AD100" i="3"/>
  <c r="H100" i="3"/>
  <c r="K100" i="3"/>
  <c r="W19" i="3"/>
  <c r="X19" i="3"/>
  <c r="F27" i="3"/>
  <c r="AB26" i="3"/>
  <c r="D26" i="3"/>
  <c r="G26" i="3"/>
  <c r="S21" i="3"/>
  <c r="Q22" i="3"/>
  <c r="Q102" i="3"/>
  <c r="S101" i="3"/>
  <c r="AE21" i="3"/>
  <c r="M21" i="3"/>
  <c r="O21" i="3" s="1"/>
  <c r="N21" i="3"/>
  <c r="AF19" i="3"/>
  <c r="U19" i="3"/>
  <c r="F102" i="3"/>
  <c r="AB101" i="3"/>
  <c r="D101" i="3"/>
  <c r="G101" i="3"/>
  <c r="J101" i="3" s="1"/>
  <c r="E100" i="3"/>
  <c r="AA100" i="3"/>
  <c r="Y18" i="3"/>
  <c r="AG18" i="3"/>
  <c r="Y96" i="3"/>
  <c r="AG96" i="3"/>
  <c r="R102" i="3"/>
  <c r="P103" i="3"/>
  <c r="L102" i="3"/>
  <c r="AG97" i="3"/>
  <c r="Y97" i="3"/>
  <c r="AG17" i="3"/>
  <c r="Y17" i="3"/>
  <c r="E25" i="3"/>
  <c r="AA25" i="3"/>
  <c r="AC20" i="3"/>
  <c r="T20" i="3"/>
  <c r="V20" i="3" s="1"/>
  <c r="I20" i="3"/>
  <c r="AD21" i="3"/>
  <c r="H21" i="3"/>
  <c r="K21" i="3"/>
  <c r="W20" i="3" l="1"/>
  <c r="X20" i="3"/>
  <c r="AA26" i="3"/>
  <c r="E26" i="3"/>
  <c r="G102" i="3"/>
  <c r="J102" i="3" s="1"/>
  <c r="F103" i="3"/>
  <c r="D102" i="3"/>
  <c r="AB102" i="3"/>
  <c r="W98" i="3"/>
  <c r="X98" i="3"/>
  <c r="L103" i="3"/>
  <c r="R103" i="3"/>
  <c r="P104" i="3"/>
  <c r="AC100" i="3"/>
  <c r="T100" i="3"/>
  <c r="I100" i="3"/>
  <c r="V100" i="3"/>
  <c r="AC21" i="3"/>
  <c r="T21" i="3"/>
  <c r="I21" i="3"/>
  <c r="V21" i="3"/>
  <c r="AG19" i="3"/>
  <c r="Y19" i="3"/>
  <c r="R23" i="3"/>
  <c r="P24" i="3"/>
  <c r="L23" i="3"/>
  <c r="J23" i="3"/>
  <c r="S102" i="3"/>
  <c r="Q103" i="3"/>
  <c r="W99" i="3"/>
  <c r="X99" i="3"/>
  <c r="AF20" i="3"/>
  <c r="U20" i="3"/>
  <c r="K22" i="3"/>
  <c r="AD22" i="3"/>
  <c r="H22" i="3"/>
  <c r="K101" i="3"/>
  <c r="AD101" i="3"/>
  <c r="H101" i="3"/>
  <c r="Q23" i="3"/>
  <c r="S22" i="3"/>
  <c r="AE102" i="3"/>
  <c r="M102" i="3"/>
  <c r="O102" i="3" s="1"/>
  <c r="N102" i="3"/>
  <c r="D27" i="3"/>
  <c r="G27" i="3"/>
  <c r="F28" i="3"/>
  <c r="AB27" i="3"/>
  <c r="M22" i="3"/>
  <c r="O22" i="3" s="1"/>
  <c r="N22" i="3"/>
  <c r="AE22" i="3"/>
  <c r="AA101" i="3"/>
  <c r="E101" i="3"/>
  <c r="U99" i="3"/>
  <c r="AF99" i="3"/>
  <c r="M103" i="3" l="1"/>
  <c r="O103" i="3" s="1"/>
  <c r="N103" i="3"/>
  <c r="AE103" i="3"/>
  <c r="AG99" i="3"/>
  <c r="Y99" i="3"/>
  <c r="E102" i="3"/>
  <c r="AA102" i="3"/>
  <c r="W100" i="3"/>
  <c r="X100" i="3"/>
  <c r="S23" i="3"/>
  <c r="Q24" i="3"/>
  <c r="AB103" i="3"/>
  <c r="D103" i="3"/>
  <c r="G103" i="3"/>
  <c r="J103" i="3" s="1"/>
  <c r="F104" i="3"/>
  <c r="AF100" i="3"/>
  <c r="U100" i="3"/>
  <c r="W21" i="3"/>
  <c r="X21" i="3"/>
  <c r="AD102" i="3"/>
  <c r="H102" i="3"/>
  <c r="K102" i="3"/>
  <c r="Y98" i="3"/>
  <c r="AG98" i="3"/>
  <c r="AF21" i="3"/>
  <c r="U21" i="3"/>
  <c r="AC101" i="3"/>
  <c r="I101" i="3"/>
  <c r="T101" i="3"/>
  <c r="AC22" i="3"/>
  <c r="T22" i="3"/>
  <c r="I22" i="3"/>
  <c r="P105" i="3"/>
  <c r="R104" i="3"/>
  <c r="Y20" i="3"/>
  <c r="AG20" i="3"/>
  <c r="E27" i="3"/>
  <c r="AA27" i="3"/>
  <c r="S103" i="3"/>
  <c r="Q104" i="3"/>
  <c r="AD23" i="3"/>
  <c r="H23" i="3"/>
  <c r="K23" i="3"/>
  <c r="AE23" i="3"/>
  <c r="M23" i="3"/>
  <c r="O23" i="3" s="1"/>
  <c r="N23" i="3"/>
  <c r="P25" i="3"/>
  <c r="L24" i="3"/>
  <c r="R24" i="3"/>
  <c r="J24" i="3"/>
  <c r="F29" i="3"/>
  <c r="AB28" i="3"/>
  <c r="D28" i="3"/>
  <c r="G28" i="3"/>
  <c r="AF22" i="3" l="1"/>
  <c r="U22" i="3"/>
  <c r="V22" i="3"/>
  <c r="AC23" i="3"/>
  <c r="T23" i="3"/>
  <c r="I23" i="3"/>
  <c r="V23" i="3"/>
  <c r="K24" i="3"/>
  <c r="AD24" i="3"/>
  <c r="H24" i="3"/>
  <c r="G104" i="3"/>
  <c r="J104" i="3" s="1"/>
  <c r="F105" i="3"/>
  <c r="AB104" i="3"/>
  <c r="D104" i="3"/>
  <c r="AA28" i="3"/>
  <c r="E28" i="3"/>
  <c r="Q25" i="3"/>
  <c r="S24" i="3"/>
  <c r="AG21" i="3"/>
  <c r="Y21" i="3"/>
  <c r="AD103" i="3"/>
  <c r="H103" i="3"/>
  <c r="K103" i="3"/>
  <c r="R105" i="3"/>
  <c r="P106" i="3"/>
  <c r="D29" i="3"/>
  <c r="G29" i="3"/>
  <c r="F30" i="3"/>
  <c r="AB29" i="3"/>
  <c r="AG100" i="3"/>
  <c r="Y100" i="3"/>
  <c r="AF101" i="3"/>
  <c r="U101" i="3"/>
  <c r="V101" i="3"/>
  <c r="AA103" i="3"/>
  <c r="E103" i="3"/>
  <c r="T102" i="3"/>
  <c r="I102" i="3"/>
  <c r="V102" i="3"/>
  <c r="AC102" i="3"/>
  <c r="S104" i="3"/>
  <c r="Q105" i="3"/>
  <c r="M24" i="3"/>
  <c r="O24" i="3" s="1"/>
  <c r="N24" i="3"/>
  <c r="AE24" i="3"/>
  <c r="R25" i="3"/>
  <c r="P26" i="3"/>
  <c r="L25" i="3"/>
  <c r="J25" i="3"/>
  <c r="L104" i="3"/>
  <c r="AB105" i="3" l="1"/>
  <c r="D105" i="3"/>
  <c r="G105" i="3"/>
  <c r="J105" i="3" s="1"/>
  <c r="F106" i="3"/>
  <c r="S105" i="3"/>
  <c r="Q106" i="3"/>
  <c r="AC24" i="3"/>
  <c r="T24" i="3"/>
  <c r="V24" i="3" s="1"/>
  <c r="I24" i="3"/>
  <c r="M104" i="3"/>
  <c r="O104" i="3" s="1"/>
  <c r="N104" i="3"/>
  <c r="AE104" i="3"/>
  <c r="AC103" i="3"/>
  <c r="T103" i="3"/>
  <c r="I103" i="3"/>
  <c r="V103" i="3"/>
  <c r="E29" i="3"/>
  <c r="AA29" i="3"/>
  <c r="H104" i="3"/>
  <c r="K104" i="3"/>
  <c r="AD104" i="3"/>
  <c r="W102" i="3"/>
  <c r="X102" i="3"/>
  <c r="W23" i="3"/>
  <c r="X23" i="3"/>
  <c r="S25" i="3"/>
  <c r="Q26" i="3"/>
  <c r="AA104" i="3"/>
  <c r="E104" i="3"/>
  <c r="F31" i="3"/>
  <c r="AB30" i="3"/>
  <c r="D30" i="3"/>
  <c r="G30" i="3"/>
  <c r="AF102" i="3"/>
  <c r="U102" i="3"/>
  <c r="AE25" i="3"/>
  <c r="M25" i="3"/>
  <c r="O25" i="3" s="1"/>
  <c r="N25" i="3"/>
  <c r="W101" i="3"/>
  <c r="X101" i="3"/>
  <c r="AD25" i="3"/>
  <c r="H25" i="3"/>
  <c r="K25" i="3"/>
  <c r="AF23" i="3"/>
  <c r="U23" i="3"/>
  <c r="P27" i="3"/>
  <c r="L26" i="3"/>
  <c r="R26" i="3"/>
  <c r="J26" i="3"/>
  <c r="L105" i="3"/>
  <c r="W22" i="3"/>
  <c r="X22" i="3"/>
  <c r="P107" i="3"/>
  <c r="L106" i="3"/>
  <c r="R106" i="3"/>
  <c r="W24" i="3" l="1"/>
  <c r="X24" i="3"/>
  <c r="AA30" i="3"/>
  <c r="E30" i="3"/>
  <c r="M106" i="3"/>
  <c r="O106" i="3" s="1"/>
  <c r="N106" i="3"/>
  <c r="AE106" i="3"/>
  <c r="AF24" i="3"/>
  <c r="U24" i="3"/>
  <c r="Q107" i="3"/>
  <c r="S106" i="3"/>
  <c r="N105" i="3"/>
  <c r="AE105" i="3"/>
  <c r="M105" i="3"/>
  <c r="O105" i="3" s="1"/>
  <c r="AF103" i="3"/>
  <c r="U103" i="3"/>
  <c r="F107" i="3"/>
  <c r="AB106" i="3"/>
  <c r="D106" i="3"/>
  <c r="G106" i="3"/>
  <c r="J106" i="3" s="1"/>
  <c r="AC25" i="3"/>
  <c r="T25" i="3"/>
  <c r="I25" i="3"/>
  <c r="AD105" i="3"/>
  <c r="H105" i="3"/>
  <c r="K105" i="3"/>
  <c r="T104" i="3"/>
  <c r="I104" i="3"/>
  <c r="V104" i="3"/>
  <c r="AC104" i="3"/>
  <c r="R107" i="3"/>
  <c r="P108" i="3"/>
  <c r="L107" i="3"/>
  <c r="Y22" i="3"/>
  <c r="AG22" i="3"/>
  <c r="W103" i="3"/>
  <c r="X103" i="3"/>
  <c r="Q27" i="3"/>
  <c r="S26" i="3"/>
  <c r="AG23" i="3"/>
  <c r="Y23" i="3"/>
  <c r="AA105" i="3"/>
  <c r="E105" i="3"/>
  <c r="D31" i="3"/>
  <c r="G31" i="3"/>
  <c r="F32" i="3"/>
  <c r="AB31" i="3"/>
  <c r="Y101" i="3"/>
  <c r="AG101" i="3"/>
  <c r="K26" i="3"/>
  <c r="AD26" i="3"/>
  <c r="H26" i="3"/>
  <c r="M26" i="3"/>
  <c r="O26" i="3" s="1"/>
  <c r="N26" i="3"/>
  <c r="AE26" i="3"/>
  <c r="R27" i="3"/>
  <c r="P28" i="3"/>
  <c r="L27" i="3"/>
  <c r="J27" i="3"/>
  <c r="AG102" i="3"/>
  <c r="Y102" i="3"/>
  <c r="AA106" i="3" l="1"/>
  <c r="E106" i="3"/>
  <c r="E31" i="3"/>
  <c r="AA31" i="3"/>
  <c r="AC26" i="3"/>
  <c r="T26" i="3"/>
  <c r="I26" i="3"/>
  <c r="Y103" i="3"/>
  <c r="AG103" i="3"/>
  <c r="K106" i="3"/>
  <c r="AD106" i="3"/>
  <c r="H106" i="3"/>
  <c r="AF104" i="3"/>
  <c r="U104" i="3"/>
  <c r="AE107" i="3"/>
  <c r="M107" i="3"/>
  <c r="O107" i="3" s="1"/>
  <c r="N107" i="3"/>
  <c r="L108" i="3"/>
  <c r="R108" i="3"/>
  <c r="P109" i="3"/>
  <c r="S107" i="3"/>
  <c r="Q108" i="3"/>
  <c r="S27" i="3"/>
  <c r="Q28" i="3"/>
  <c r="D107" i="3"/>
  <c r="G107" i="3"/>
  <c r="J107" i="3" s="1"/>
  <c r="F108" i="3"/>
  <c r="AB107" i="3"/>
  <c r="AC105" i="3"/>
  <c r="T105" i="3"/>
  <c r="I105" i="3"/>
  <c r="V105" i="3"/>
  <c r="Y24" i="3"/>
  <c r="AG24" i="3"/>
  <c r="AF25" i="3"/>
  <c r="U25" i="3"/>
  <c r="W104" i="3"/>
  <c r="X104" i="3"/>
  <c r="AD27" i="3"/>
  <c r="H27" i="3"/>
  <c r="K27" i="3"/>
  <c r="AE27" i="3"/>
  <c r="M27" i="3"/>
  <c r="O27" i="3" s="1"/>
  <c r="N27" i="3"/>
  <c r="F33" i="3"/>
  <c r="AB32" i="3"/>
  <c r="D32" i="3"/>
  <c r="G32" i="3"/>
  <c r="P29" i="3"/>
  <c r="L28" i="3"/>
  <c r="R28" i="3"/>
  <c r="J28" i="3"/>
  <c r="V25" i="3"/>
  <c r="W105" i="3" l="1"/>
  <c r="X105" i="3"/>
  <c r="W25" i="3"/>
  <c r="X25" i="3"/>
  <c r="AF26" i="3"/>
  <c r="U26" i="3"/>
  <c r="K28" i="3"/>
  <c r="AD28" i="3"/>
  <c r="H28" i="3"/>
  <c r="M108" i="3"/>
  <c r="O108" i="3" s="1"/>
  <c r="N108" i="3"/>
  <c r="AE108" i="3"/>
  <c r="AD107" i="3"/>
  <c r="H107" i="3"/>
  <c r="K107" i="3"/>
  <c r="S108" i="3"/>
  <c r="Q109" i="3"/>
  <c r="R109" i="3"/>
  <c r="P110" i="3"/>
  <c r="L109" i="3"/>
  <c r="AC27" i="3"/>
  <c r="T27" i="3"/>
  <c r="I27" i="3"/>
  <c r="R29" i="3"/>
  <c r="P30" i="3"/>
  <c r="L29" i="3"/>
  <c r="J29" i="3"/>
  <c r="AG104" i="3"/>
  <c r="Y104" i="3"/>
  <c r="AA32" i="3"/>
  <c r="E32" i="3"/>
  <c r="Q29" i="3"/>
  <c r="S28" i="3"/>
  <c r="AF105" i="3"/>
  <c r="U105" i="3"/>
  <c r="M28" i="3"/>
  <c r="O28" i="3" s="1"/>
  <c r="N28" i="3"/>
  <c r="AE28" i="3"/>
  <c r="F109" i="3"/>
  <c r="AB108" i="3"/>
  <c r="D108" i="3"/>
  <c r="G108" i="3"/>
  <c r="J108" i="3" s="1"/>
  <c r="V26" i="3"/>
  <c r="E107" i="3"/>
  <c r="AA107" i="3"/>
  <c r="D33" i="3"/>
  <c r="G33" i="3"/>
  <c r="F34" i="3"/>
  <c r="AB33" i="3"/>
  <c r="I106" i="3"/>
  <c r="AC106" i="3"/>
  <c r="T106" i="3"/>
  <c r="V106" i="3" s="1"/>
  <c r="W106" i="3" l="1"/>
  <c r="X106" i="3"/>
  <c r="AF27" i="3"/>
  <c r="U27" i="3"/>
  <c r="K108" i="3"/>
  <c r="AD108" i="3"/>
  <c r="H108" i="3"/>
  <c r="W26" i="3"/>
  <c r="X26" i="3"/>
  <c r="AC28" i="3"/>
  <c r="T28" i="3"/>
  <c r="I28" i="3"/>
  <c r="R110" i="3"/>
  <c r="P111" i="3"/>
  <c r="F35" i="3"/>
  <c r="AB34" i="3"/>
  <c r="D34" i="3"/>
  <c r="G34" i="3"/>
  <c r="AG25" i="3"/>
  <c r="Y25" i="3"/>
  <c r="AD29" i="3"/>
  <c r="H29" i="3"/>
  <c r="K29" i="3"/>
  <c r="P31" i="3"/>
  <c r="L30" i="3"/>
  <c r="R30" i="3"/>
  <c r="J30" i="3"/>
  <c r="S29" i="3"/>
  <c r="Q30" i="3"/>
  <c r="U106" i="3"/>
  <c r="AF106" i="3"/>
  <c r="AE109" i="3"/>
  <c r="M109" i="3"/>
  <c r="O109" i="3" s="1"/>
  <c r="N109" i="3"/>
  <c r="AC107" i="3"/>
  <c r="T107" i="3"/>
  <c r="V107" i="3" s="1"/>
  <c r="I107" i="3"/>
  <c r="AG105" i="3"/>
  <c r="Y105" i="3"/>
  <c r="AA108" i="3"/>
  <c r="E108" i="3"/>
  <c r="G109" i="3"/>
  <c r="J109" i="3" s="1"/>
  <c r="F110" i="3"/>
  <c r="L110" i="3" s="1"/>
  <c r="AB109" i="3"/>
  <c r="D109" i="3"/>
  <c r="S109" i="3"/>
  <c r="Q110" i="3"/>
  <c r="AE29" i="3"/>
  <c r="M29" i="3"/>
  <c r="O29" i="3" s="1"/>
  <c r="N29" i="3"/>
  <c r="E33" i="3"/>
  <c r="AA33" i="3"/>
  <c r="V27" i="3"/>
  <c r="M110" i="3" l="1"/>
  <c r="O110" i="3" s="1"/>
  <c r="N110" i="3"/>
  <c r="AE110" i="3"/>
  <c r="AF28" i="3"/>
  <c r="U28" i="3"/>
  <c r="AA34" i="3"/>
  <c r="E34" i="3"/>
  <c r="H109" i="3"/>
  <c r="K109" i="3"/>
  <c r="AD109" i="3"/>
  <c r="AC108" i="3"/>
  <c r="T108" i="3"/>
  <c r="I108" i="3"/>
  <c r="S110" i="3"/>
  <c r="Q111" i="3"/>
  <c r="W27" i="3"/>
  <c r="X27" i="3"/>
  <c r="D35" i="3"/>
  <c r="G35" i="3"/>
  <c r="F36" i="3"/>
  <c r="AB35" i="3"/>
  <c r="M30" i="3"/>
  <c r="O30" i="3" s="1"/>
  <c r="N30" i="3"/>
  <c r="AE30" i="3"/>
  <c r="AF107" i="3"/>
  <c r="U107" i="3"/>
  <c r="Q31" i="3"/>
  <c r="S30" i="3"/>
  <c r="Y26" i="3"/>
  <c r="AG26" i="3"/>
  <c r="W107" i="3"/>
  <c r="X107" i="3"/>
  <c r="R31" i="3"/>
  <c r="P32" i="3"/>
  <c r="L31" i="3"/>
  <c r="J31" i="3"/>
  <c r="AC29" i="3"/>
  <c r="T29" i="3"/>
  <c r="I29" i="3"/>
  <c r="V29" i="3"/>
  <c r="Y106" i="3"/>
  <c r="AG106" i="3"/>
  <c r="AB110" i="3"/>
  <c r="D110" i="3"/>
  <c r="G110" i="3"/>
  <c r="J110" i="3" s="1"/>
  <c r="F111" i="3"/>
  <c r="L111" i="3" s="1"/>
  <c r="V28" i="3"/>
  <c r="K30" i="3"/>
  <c r="AD30" i="3"/>
  <c r="H30" i="3"/>
  <c r="AA109" i="3"/>
  <c r="E109" i="3"/>
  <c r="P112" i="3"/>
  <c r="R111" i="3"/>
  <c r="M111" i="3" l="1"/>
  <c r="O111" i="3" s="1"/>
  <c r="N111" i="3"/>
  <c r="AE111" i="3"/>
  <c r="AD110" i="3"/>
  <c r="H110" i="3"/>
  <c r="K110" i="3"/>
  <c r="AA110" i="3"/>
  <c r="E110" i="3"/>
  <c r="AF108" i="3"/>
  <c r="U108" i="3"/>
  <c r="AG107" i="3"/>
  <c r="Y107" i="3"/>
  <c r="W29" i="3"/>
  <c r="X29" i="3"/>
  <c r="E35" i="3"/>
  <c r="AA35" i="3"/>
  <c r="AG27" i="3"/>
  <c r="Y27" i="3"/>
  <c r="F37" i="3"/>
  <c r="AB36" i="3"/>
  <c r="D36" i="3"/>
  <c r="G36" i="3"/>
  <c r="T109" i="3"/>
  <c r="I109" i="3"/>
  <c r="AC109" i="3"/>
  <c r="AF29" i="3"/>
  <c r="U29" i="3"/>
  <c r="AD31" i="3"/>
  <c r="H31" i="3"/>
  <c r="K31" i="3"/>
  <c r="V108" i="3"/>
  <c r="F112" i="3"/>
  <c r="AB111" i="3"/>
  <c r="D111" i="3"/>
  <c r="G111" i="3"/>
  <c r="J111" i="3" s="1"/>
  <c r="P33" i="3"/>
  <c r="L32" i="3"/>
  <c r="R32" i="3"/>
  <c r="J32" i="3"/>
  <c r="R112" i="3"/>
  <c r="P113" i="3"/>
  <c r="AC30" i="3"/>
  <c r="T30" i="3"/>
  <c r="V30" i="3" s="1"/>
  <c r="I30" i="3"/>
  <c r="S31" i="3"/>
  <c r="Q32" i="3"/>
  <c r="Q112" i="3"/>
  <c r="S111" i="3"/>
  <c r="W28" i="3"/>
  <c r="X28" i="3"/>
  <c r="AE31" i="3"/>
  <c r="M31" i="3"/>
  <c r="O31" i="3" s="1"/>
  <c r="N31" i="3"/>
  <c r="AC31" i="3" l="1"/>
  <c r="T31" i="3"/>
  <c r="I31" i="3"/>
  <c r="V31" i="3"/>
  <c r="W30" i="3"/>
  <c r="X30" i="3"/>
  <c r="W108" i="3"/>
  <c r="X108" i="3"/>
  <c r="L113" i="3"/>
  <c r="R113" i="3"/>
  <c r="P114" i="3"/>
  <c r="AF109" i="3"/>
  <c r="U109" i="3"/>
  <c r="K32" i="3"/>
  <c r="AD32" i="3"/>
  <c r="H32" i="3"/>
  <c r="Q33" i="3"/>
  <c r="S32" i="3"/>
  <c r="R33" i="3"/>
  <c r="P34" i="3"/>
  <c r="L33" i="3"/>
  <c r="J33" i="3"/>
  <c r="AB112" i="3"/>
  <c r="D112" i="3"/>
  <c r="G112" i="3"/>
  <c r="J112" i="3" s="1"/>
  <c r="F113" i="3"/>
  <c r="L112" i="3"/>
  <c r="Y28" i="3"/>
  <c r="AG28" i="3"/>
  <c r="D37" i="3"/>
  <c r="G37" i="3"/>
  <c r="F38" i="3"/>
  <c r="AB37" i="3"/>
  <c r="AC110" i="3"/>
  <c r="T110" i="3"/>
  <c r="V110" i="3" s="1"/>
  <c r="I110" i="3"/>
  <c r="H111" i="3"/>
  <c r="K111" i="3"/>
  <c r="AD111" i="3"/>
  <c r="V109" i="3"/>
  <c r="AG29" i="3"/>
  <c r="Y29" i="3"/>
  <c r="AA36" i="3"/>
  <c r="E36" i="3"/>
  <c r="S112" i="3"/>
  <c r="Q113" i="3"/>
  <c r="M32" i="3"/>
  <c r="O32" i="3" s="1"/>
  <c r="N32" i="3"/>
  <c r="AE32" i="3"/>
  <c r="AF30" i="3"/>
  <c r="U30" i="3"/>
  <c r="AA111" i="3"/>
  <c r="E111" i="3"/>
  <c r="AE33" i="3" l="1"/>
  <c r="M33" i="3"/>
  <c r="O33" i="3" s="1"/>
  <c r="N33" i="3"/>
  <c r="F39" i="3"/>
  <c r="AB38" i="3"/>
  <c r="D38" i="3"/>
  <c r="G38" i="3"/>
  <c r="R114" i="3"/>
  <c r="P115" i="3"/>
  <c r="L114" i="3"/>
  <c r="M113" i="3"/>
  <c r="O113" i="3" s="1"/>
  <c r="N113" i="3"/>
  <c r="AE113" i="3"/>
  <c r="T111" i="3"/>
  <c r="I111" i="3"/>
  <c r="V111" i="3"/>
  <c r="AC111" i="3"/>
  <c r="W31" i="3"/>
  <c r="X31" i="3"/>
  <c r="E37" i="3"/>
  <c r="AA37" i="3"/>
  <c r="AC32" i="3"/>
  <c r="T32" i="3"/>
  <c r="V32" i="3" s="1"/>
  <c r="I32" i="3"/>
  <c r="F114" i="3"/>
  <c r="AB113" i="3"/>
  <c r="D113" i="3"/>
  <c r="G113" i="3"/>
  <c r="J113" i="3" s="1"/>
  <c r="AD33" i="3"/>
  <c r="H33" i="3"/>
  <c r="K33" i="3"/>
  <c r="P35" i="3"/>
  <c r="L34" i="3"/>
  <c r="R34" i="3"/>
  <c r="J34" i="3"/>
  <c r="W109" i="3"/>
  <c r="X109" i="3"/>
  <c r="Y30" i="3"/>
  <c r="AG30" i="3"/>
  <c r="AD112" i="3"/>
  <c r="H112" i="3"/>
  <c r="K112" i="3"/>
  <c r="AF31" i="3"/>
  <c r="U31" i="3"/>
  <c r="Y108" i="3"/>
  <c r="AG108" i="3"/>
  <c r="S33" i="3"/>
  <c r="Q34" i="3"/>
  <c r="AE112" i="3"/>
  <c r="M112" i="3"/>
  <c r="O112" i="3" s="1"/>
  <c r="N112" i="3"/>
  <c r="W110" i="3"/>
  <c r="X110" i="3"/>
  <c r="Q114" i="3"/>
  <c r="S113" i="3"/>
  <c r="AF110" i="3"/>
  <c r="U110" i="3"/>
  <c r="E112" i="3"/>
  <c r="AA112" i="3"/>
  <c r="R35" i="3" l="1"/>
  <c r="P36" i="3"/>
  <c r="L35" i="3"/>
  <c r="J35" i="3"/>
  <c r="W32" i="3"/>
  <c r="X32" i="3"/>
  <c r="S114" i="3"/>
  <c r="Q115" i="3"/>
  <c r="AE114" i="3"/>
  <c r="M114" i="3"/>
  <c r="O114" i="3" s="1"/>
  <c r="N114" i="3"/>
  <c r="K113" i="3"/>
  <c r="AD113" i="3"/>
  <c r="H113" i="3"/>
  <c r="U111" i="3"/>
  <c r="AF111" i="3"/>
  <c r="AC112" i="3"/>
  <c r="T112" i="3"/>
  <c r="I112" i="3"/>
  <c r="V112" i="3"/>
  <c r="W111" i="3"/>
  <c r="X111" i="3"/>
  <c r="AG109" i="3"/>
  <c r="Y109" i="3"/>
  <c r="G114" i="3"/>
  <c r="J114" i="3" s="1"/>
  <c r="F115" i="3"/>
  <c r="D114" i="3"/>
  <c r="AB114" i="3"/>
  <c r="AC33" i="3"/>
  <c r="T33" i="3"/>
  <c r="I33" i="3"/>
  <c r="V33" i="3"/>
  <c r="L115" i="3"/>
  <c r="R115" i="3"/>
  <c r="P116" i="3"/>
  <c r="Y110" i="3"/>
  <c r="AG110" i="3"/>
  <c r="AG31" i="3"/>
  <c r="Y31" i="3"/>
  <c r="AA113" i="3"/>
  <c r="E113" i="3"/>
  <c r="Q35" i="3"/>
  <c r="S34" i="3"/>
  <c r="AF32" i="3"/>
  <c r="U32" i="3"/>
  <c r="AA38" i="3"/>
  <c r="E38" i="3"/>
  <c r="AB39" i="3"/>
  <c r="D39" i="3"/>
  <c r="G39" i="3"/>
  <c r="F40" i="3"/>
  <c r="K34" i="3"/>
  <c r="AD34" i="3"/>
  <c r="H34" i="3"/>
  <c r="M34" i="3"/>
  <c r="O34" i="3" s="1"/>
  <c r="N34" i="3"/>
  <c r="AE34" i="3"/>
  <c r="W112" i="3" l="1"/>
  <c r="X112" i="3"/>
  <c r="M115" i="3"/>
  <c r="O115" i="3" s="1"/>
  <c r="N115" i="3"/>
  <c r="AE115" i="3"/>
  <c r="E114" i="3"/>
  <c r="AA114" i="3"/>
  <c r="AD35" i="3"/>
  <c r="H35" i="3"/>
  <c r="K35" i="3"/>
  <c r="P117" i="3"/>
  <c r="L116" i="3"/>
  <c r="R116" i="3"/>
  <c r="AG111" i="3"/>
  <c r="Y111" i="3"/>
  <c r="AF33" i="3"/>
  <c r="U33" i="3"/>
  <c r="AE35" i="3"/>
  <c r="M35" i="3"/>
  <c r="O35" i="3" s="1"/>
  <c r="N35" i="3"/>
  <c r="W33" i="3"/>
  <c r="X33" i="3"/>
  <c r="S35" i="3"/>
  <c r="Q36" i="3"/>
  <c r="S115" i="3"/>
  <c r="Q116" i="3"/>
  <c r="F41" i="3"/>
  <c r="AB40" i="3"/>
  <c r="D40" i="3"/>
  <c r="G40" i="3"/>
  <c r="AF112" i="3"/>
  <c r="U112" i="3"/>
  <c r="E39" i="3"/>
  <c r="AA39" i="3"/>
  <c r="AB115" i="3"/>
  <c r="D115" i="3"/>
  <c r="G115" i="3"/>
  <c r="J115" i="3" s="1"/>
  <c r="F116" i="3"/>
  <c r="AC113" i="3"/>
  <c r="I113" i="3"/>
  <c r="T113" i="3"/>
  <c r="V113" i="3" s="1"/>
  <c r="P37" i="3"/>
  <c r="L36" i="3"/>
  <c r="R36" i="3"/>
  <c r="J36" i="3"/>
  <c r="AC34" i="3"/>
  <c r="T34" i="3"/>
  <c r="V34" i="3" s="1"/>
  <c r="I34" i="3"/>
  <c r="Y32" i="3"/>
  <c r="AG32" i="3"/>
  <c r="AD114" i="3"/>
  <c r="H114" i="3"/>
  <c r="K114" i="3"/>
  <c r="W34" i="3" l="1"/>
  <c r="X34" i="3"/>
  <c r="W113" i="3"/>
  <c r="X113" i="3"/>
  <c r="AG33" i="3"/>
  <c r="Y33" i="3"/>
  <c r="AA40" i="3"/>
  <c r="E40" i="3"/>
  <c r="R117" i="3"/>
  <c r="P118" i="3"/>
  <c r="L117" i="3"/>
  <c r="AC35" i="3"/>
  <c r="T35" i="3"/>
  <c r="I35" i="3"/>
  <c r="V35" i="3"/>
  <c r="G116" i="3"/>
  <c r="J116" i="3" s="1"/>
  <c r="F117" i="3"/>
  <c r="AB116" i="3"/>
  <c r="D116" i="3"/>
  <c r="M36" i="3"/>
  <c r="O36" i="3" s="1"/>
  <c r="N36" i="3"/>
  <c r="AE36" i="3"/>
  <c r="AD115" i="3"/>
  <c r="H115" i="3"/>
  <c r="K115" i="3"/>
  <c r="S116" i="3"/>
  <c r="Q117" i="3"/>
  <c r="M116" i="3"/>
  <c r="O116" i="3" s="1"/>
  <c r="N116" i="3"/>
  <c r="AE116" i="3"/>
  <c r="T114" i="3"/>
  <c r="I114" i="3"/>
  <c r="V114" i="3"/>
  <c r="AC114" i="3"/>
  <c r="AA115" i="3"/>
  <c r="E115" i="3"/>
  <c r="AG112" i="3"/>
  <c r="Y112" i="3"/>
  <c r="R37" i="3"/>
  <c r="P38" i="3"/>
  <c r="L37" i="3"/>
  <c r="J37" i="3"/>
  <c r="AF113" i="3"/>
  <c r="U113" i="3"/>
  <c r="AB41" i="3"/>
  <c r="D41" i="3"/>
  <c r="G41" i="3"/>
  <c r="F42" i="3"/>
  <c r="AF34" i="3"/>
  <c r="U34" i="3"/>
  <c r="K36" i="3"/>
  <c r="AD36" i="3"/>
  <c r="H36" i="3"/>
  <c r="Q37" i="3"/>
  <c r="S36" i="3"/>
  <c r="AF114" i="3" l="1"/>
  <c r="U114" i="3"/>
  <c r="AA41" i="3"/>
  <c r="E41" i="3"/>
  <c r="S37" i="3"/>
  <c r="Q38" i="3"/>
  <c r="L38" i="3"/>
  <c r="R38" i="3"/>
  <c r="P39" i="3"/>
  <c r="J38" i="3"/>
  <c r="Y113" i="3"/>
  <c r="AG113" i="3"/>
  <c r="W114" i="3"/>
  <c r="X114" i="3"/>
  <c r="AC36" i="3"/>
  <c r="T36" i="3"/>
  <c r="I36" i="3"/>
  <c r="AB117" i="3"/>
  <c r="D117" i="3"/>
  <c r="G117" i="3"/>
  <c r="J117" i="3" s="1"/>
  <c r="F118" i="3"/>
  <c r="L118" i="3" s="1"/>
  <c r="S117" i="3"/>
  <c r="Q118" i="3"/>
  <c r="F43" i="3"/>
  <c r="AB42" i="3"/>
  <c r="D42" i="3"/>
  <c r="G42" i="3"/>
  <c r="N117" i="3"/>
  <c r="AE117" i="3"/>
  <c r="M117" i="3"/>
  <c r="O117" i="3" s="1"/>
  <c r="P119" i="3"/>
  <c r="R118" i="3"/>
  <c r="AD37" i="3"/>
  <c r="H37" i="3"/>
  <c r="K37" i="3"/>
  <c r="AE37" i="3"/>
  <c r="M37" i="3"/>
  <c r="O37" i="3" s="1"/>
  <c r="N37" i="3"/>
  <c r="AC115" i="3"/>
  <c r="T115" i="3"/>
  <c r="I115" i="3"/>
  <c r="V115" i="3"/>
  <c r="AF35" i="3"/>
  <c r="U35" i="3"/>
  <c r="Y34" i="3"/>
  <c r="AG34" i="3"/>
  <c r="AA116" i="3"/>
  <c r="E116" i="3"/>
  <c r="H116" i="3"/>
  <c r="K116" i="3"/>
  <c r="AD116" i="3"/>
  <c r="W35" i="3"/>
  <c r="X35" i="3"/>
  <c r="R119" i="3" l="1"/>
  <c r="P120" i="3"/>
  <c r="AD117" i="3"/>
  <c r="H117" i="3"/>
  <c r="K117" i="3"/>
  <c r="AG35" i="3"/>
  <c r="Y35" i="3"/>
  <c r="F119" i="3"/>
  <c r="AB118" i="3"/>
  <c r="D118" i="3"/>
  <c r="G118" i="3"/>
  <c r="J118" i="3" s="1"/>
  <c r="R39" i="3"/>
  <c r="P40" i="3"/>
  <c r="L39" i="3"/>
  <c r="J39" i="3"/>
  <c r="M38" i="3"/>
  <c r="O38" i="3" s="1"/>
  <c r="N38" i="3"/>
  <c r="AE38" i="3"/>
  <c r="M118" i="3"/>
  <c r="O118" i="3" s="1"/>
  <c r="N118" i="3"/>
  <c r="AE118" i="3"/>
  <c r="AF115" i="3"/>
  <c r="U115" i="3"/>
  <c r="T116" i="3"/>
  <c r="V116" i="3" s="1"/>
  <c r="I116" i="3"/>
  <c r="AC116" i="3"/>
  <c r="S38" i="3"/>
  <c r="Q39" i="3"/>
  <c r="W115" i="3"/>
  <c r="X115" i="3"/>
  <c r="K38" i="3"/>
  <c r="AD38" i="3"/>
  <c r="H38" i="3"/>
  <c r="AA42" i="3"/>
  <c r="E42" i="3"/>
  <c r="AC37" i="3"/>
  <c r="T37" i="3"/>
  <c r="I37" i="3"/>
  <c r="V37" i="3"/>
  <c r="AG114" i="3"/>
  <c r="Y114" i="3"/>
  <c r="AA117" i="3"/>
  <c r="E117" i="3"/>
  <c r="AF36" i="3"/>
  <c r="U36" i="3"/>
  <c r="AB43" i="3"/>
  <c r="D43" i="3"/>
  <c r="G43" i="3"/>
  <c r="F44" i="3"/>
  <c r="V36" i="3"/>
  <c r="Q119" i="3"/>
  <c r="S118" i="3"/>
  <c r="D119" i="3" l="1"/>
  <c r="G119" i="3"/>
  <c r="J119" i="3" s="1"/>
  <c r="F120" i="3"/>
  <c r="AB119" i="3"/>
  <c r="S119" i="3"/>
  <c r="Q120" i="3"/>
  <c r="AF37" i="3"/>
  <c r="U37" i="3"/>
  <c r="F45" i="3"/>
  <c r="AB44" i="3"/>
  <c r="D44" i="3"/>
  <c r="G44" i="3"/>
  <c r="W116" i="3"/>
  <c r="X116" i="3"/>
  <c r="W36" i="3"/>
  <c r="X36" i="3"/>
  <c r="AA43" i="3"/>
  <c r="E43" i="3"/>
  <c r="AF116" i="3"/>
  <c r="U116" i="3"/>
  <c r="L119" i="3"/>
  <c r="W37" i="3"/>
  <c r="X37" i="3"/>
  <c r="AC117" i="3"/>
  <c r="T117" i="3"/>
  <c r="I117" i="3"/>
  <c r="V117" i="3"/>
  <c r="N39" i="3"/>
  <c r="AE39" i="3"/>
  <c r="M39" i="3"/>
  <c r="O39" i="3" s="1"/>
  <c r="K118" i="3"/>
  <c r="AD118" i="3"/>
  <c r="H118" i="3"/>
  <c r="L120" i="3"/>
  <c r="R120" i="3"/>
  <c r="P121" i="3"/>
  <c r="Y115" i="3"/>
  <c r="AG115" i="3"/>
  <c r="S39" i="3"/>
  <c r="Q40" i="3"/>
  <c r="AD39" i="3"/>
  <c r="H39" i="3"/>
  <c r="K39" i="3"/>
  <c r="P41" i="3"/>
  <c r="L40" i="3"/>
  <c r="R40" i="3"/>
  <c r="J40" i="3"/>
  <c r="AC38" i="3"/>
  <c r="T38" i="3"/>
  <c r="V38" i="3" s="1"/>
  <c r="I38" i="3"/>
  <c r="AA118" i="3"/>
  <c r="E118" i="3"/>
  <c r="W38" i="3" l="1"/>
  <c r="X38" i="3"/>
  <c r="M40" i="3"/>
  <c r="O40" i="3" s="1"/>
  <c r="N40" i="3"/>
  <c r="AE40" i="3"/>
  <c r="AC39" i="3"/>
  <c r="T39" i="3"/>
  <c r="I39" i="3"/>
  <c r="V39" i="3"/>
  <c r="AE119" i="3"/>
  <c r="M119" i="3"/>
  <c r="O119" i="3" s="1"/>
  <c r="N119" i="3"/>
  <c r="AG116" i="3"/>
  <c r="Y116" i="3"/>
  <c r="I118" i="3"/>
  <c r="AC118" i="3"/>
  <c r="T118" i="3"/>
  <c r="Y36" i="3"/>
  <c r="AG36" i="3"/>
  <c r="W117" i="3"/>
  <c r="X117" i="3"/>
  <c r="AF117" i="3"/>
  <c r="U117" i="3"/>
  <c r="F121" i="3"/>
  <c r="L121" i="3" s="1"/>
  <c r="AB120" i="3"/>
  <c r="D120" i="3"/>
  <c r="G120" i="3"/>
  <c r="J120" i="3" s="1"/>
  <c r="R41" i="3"/>
  <c r="P42" i="3"/>
  <c r="L41" i="3"/>
  <c r="J41" i="3"/>
  <c r="Q41" i="3"/>
  <c r="S40" i="3"/>
  <c r="S120" i="3"/>
  <c r="Q121" i="3"/>
  <c r="H40" i="3"/>
  <c r="K40" i="3"/>
  <c r="AD40" i="3"/>
  <c r="AD119" i="3"/>
  <c r="H119" i="3"/>
  <c r="K119" i="3"/>
  <c r="M120" i="3"/>
  <c r="O120" i="3" s="1"/>
  <c r="N120" i="3"/>
  <c r="AE120" i="3"/>
  <c r="AB45" i="3"/>
  <c r="D45" i="3"/>
  <c r="G45" i="3"/>
  <c r="F46" i="3"/>
  <c r="AF38" i="3"/>
  <c r="U38" i="3"/>
  <c r="R121" i="3"/>
  <c r="P122" i="3"/>
  <c r="AG37" i="3"/>
  <c r="Y37" i="3"/>
  <c r="AA44" i="3"/>
  <c r="E44" i="3"/>
  <c r="E119" i="3"/>
  <c r="AA119" i="3"/>
  <c r="W39" i="3" l="1"/>
  <c r="X39" i="3"/>
  <c r="P43" i="3"/>
  <c r="L42" i="3"/>
  <c r="R42" i="3"/>
  <c r="J42" i="3"/>
  <c r="S41" i="3"/>
  <c r="Q42" i="3"/>
  <c r="N41" i="3"/>
  <c r="AE41" i="3"/>
  <c r="M41" i="3"/>
  <c r="O41" i="3" s="1"/>
  <c r="AF39" i="3"/>
  <c r="U39" i="3"/>
  <c r="AD41" i="3"/>
  <c r="H41" i="3"/>
  <c r="K41" i="3"/>
  <c r="K120" i="3"/>
  <c r="AD120" i="3"/>
  <c r="H120" i="3"/>
  <c r="AA45" i="3"/>
  <c r="E45" i="3"/>
  <c r="AG117" i="3"/>
  <c r="Y117" i="3"/>
  <c r="AE121" i="3"/>
  <c r="M121" i="3"/>
  <c r="O121" i="3" s="1"/>
  <c r="N121" i="3"/>
  <c r="AC119" i="3"/>
  <c r="T119" i="3"/>
  <c r="I119" i="3"/>
  <c r="V119" i="3"/>
  <c r="U118" i="3"/>
  <c r="AF118" i="3"/>
  <c r="V118" i="3"/>
  <c r="T40" i="3"/>
  <c r="I40" i="3"/>
  <c r="V40" i="3"/>
  <c r="AC40" i="3"/>
  <c r="Y38" i="3"/>
  <c r="AG38" i="3"/>
  <c r="R122" i="3"/>
  <c r="P123" i="3"/>
  <c r="AA120" i="3"/>
  <c r="E120" i="3"/>
  <c r="F47" i="3"/>
  <c r="AB46" i="3"/>
  <c r="D46" i="3"/>
  <c r="G46" i="3"/>
  <c r="S121" i="3"/>
  <c r="Q122" i="3"/>
  <c r="G121" i="3"/>
  <c r="J121" i="3" s="1"/>
  <c r="F122" i="3"/>
  <c r="AB121" i="3"/>
  <c r="D121" i="3"/>
  <c r="W118" i="3" l="1"/>
  <c r="X118" i="3"/>
  <c r="Q43" i="3"/>
  <c r="S42" i="3"/>
  <c r="H42" i="3"/>
  <c r="K42" i="3"/>
  <c r="AD42" i="3"/>
  <c r="S122" i="3"/>
  <c r="Q123" i="3"/>
  <c r="M42" i="3"/>
  <c r="O42" i="3" s="1"/>
  <c r="N42" i="3"/>
  <c r="AE42" i="3"/>
  <c r="AA121" i="3"/>
  <c r="E121" i="3"/>
  <c r="AC120" i="3"/>
  <c r="T120" i="3"/>
  <c r="I120" i="3"/>
  <c r="V120" i="3"/>
  <c r="AB122" i="3"/>
  <c r="D122" i="3"/>
  <c r="G122" i="3"/>
  <c r="J122" i="3" s="1"/>
  <c r="F123" i="3"/>
  <c r="L122" i="3"/>
  <c r="P124" i="3"/>
  <c r="R123" i="3"/>
  <c r="AC41" i="3"/>
  <c r="T41" i="3"/>
  <c r="I41" i="3"/>
  <c r="V41" i="3"/>
  <c r="R43" i="3"/>
  <c r="P44" i="3"/>
  <c r="L43" i="3"/>
  <c r="J43" i="3"/>
  <c r="AB47" i="3"/>
  <c r="D47" i="3"/>
  <c r="G47" i="3"/>
  <c r="F48" i="3"/>
  <c r="U40" i="3"/>
  <c r="AF40" i="3"/>
  <c r="H121" i="3"/>
  <c r="K121" i="3"/>
  <c r="AD121" i="3"/>
  <c r="AF119" i="3"/>
  <c r="U119" i="3"/>
  <c r="AG39" i="3"/>
  <c r="Y39" i="3"/>
  <c r="W40" i="3"/>
  <c r="X40" i="3"/>
  <c r="W119" i="3"/>
  <c r="X119" i="3"/>
  <c r="AA46" i="3"/>
  <c r="E46" i="3"/>
  <c r="N43" i="3" l="1"/>
  <c r="AE43" i="3"/>
  <c r="M43" i="3"/>
  <c r="O43" i="3" s="1"/>
  <c r="Q124" i="3"/>
  <c r="S123" i="3"/>
  <c r="AD122" i="3"/>
  <c r="H122" i="3"/>
  <c r="K122" i="3"/>
  <c r="W120" i="3"/>
  <c r="X120" i="3"/>
  <c r="F49" i="3"/>
  <c r="AB48" i="3"/>
  <c r="D48" i="3"/>
  <c r="G48" i="3"/>
  <c r="AF120" i="3"/>
  <c r="U120" i="3"/>
  <c r="F124" i="3"/>
  <c r="AB123" i="3"/>
  <c r="D123" i="3"/>
  <c r="G123" i="3"/>
  <c r="J123" i="3" s="1"/>
  <c r="P45" i="3"/>
  <c r="L44" i="3"/>
  <c r="R44" i="3"/>
  <c r="J44" i="3"/>
  <c r="W41" i="3"/>
  <c r="X41" i="3"/>
  <c r="AG119" i="3"/>
  <c r="Y119" i="3"/>
  <c r="S43" i="3"/>
  <c r="Q44" i="3"/>
  <c r="M122" i="3"/>
  <c r="O122" i="3" s="1"/>
  <c r="N122" i="3"/>
  <c r="AE122" i="3"/>
  <c r="AA122" i="3"/>
  <c r="E122" i="3"/>
  <c r="T42" i="3"/>
  <c r="V42" i="3" s="1"/>
  <c r="I42" i="3"/>
  <c r="AC42" i="3"/>
  <c r="AG40" i="3"/>
  <c r="Y40" i="3"/>
  <c r="L123" i="3"/>
  <c r="Y118" i="3"/>
  <c r="AG118" i="3"/>
  <c r="AD43" i="3"/>
  <c r="H43" i="3"/>
  <c r="K43" i="3"/>
  <c r="T121" i="3"/>
  <c r="V121" i="3" s="1"/>
  <c r="I121" i="3"/>
  <c r="AC121" i="3"/>
  <c r="AF41" i="3"/>
  <c r="U41" i="3"/>
  <c r="AA47" i="3"/>
  <c r="E47" i="3"/>
  <c r="R124" i="3"/>
  <c r="P125" i="3"/>
  <c r="L124" i="3"/>
  <c r="AC43" i="3" l="1"/>
  <c r="T43" i="3"/>
  <c r="I43" i="3"/>
  <c r="V43" i="3"/>
  <c r="L125" i="3"/>
  <c r="R125" i="3"/>
  <c r="P126" i="3"/>
  <c r="M44" i="3"/>
  <c r="O44" i="3" s="1"/>
  <c r="N44" i="3"/>
  <c r="AE44" i="3"/>
  <c r="AA123" i="3"/>
  <c r="E123" i="3"/>
  <c r="Q45" i="3"/>
  <c r="S44" i="3"/>
  <c r="AG41" i="3"/>
  <c r="Y41" i="3"/>
  <c r="S124" i="3"/>
  <c r="Q125" i="3"/>
  <c r="H123" i="3"/>
  <c r="K123" i="3"/>
  <c r="AD123" i="3"/>
  <c r="M123" i="3"/>
  <c r="O123" i="3" s="1"/>
  <c r="N123" i="3"/>
  <c r="AE123" i="3"/>
  <c r="AB49" i="3"/>
  <c r="D49" i="3"/>
  <c r="G49" i="3"/>
  <c r="F50" i="3"/>
  <c r="Y120" i="3"/>
  <c r="AG120" i="3"/>
  <c r="AC122" i="3"/>
  <c r="T122" i="3"/>
  <c r="I122" i="3"/>
  <c r="V122" i="3"/>
  <c r="W121" i="3"/>
  <c r="X121" i="3"/>
  <c r="AA48" i="3"/>
  <c r="E48" i="3"/>
  <c r="AE124" i="3"/>
  <c r="N124" i="3"/>
  <c r="M124" i="3"/>
  <c r="O124" i="3" s="1"/>
  <c r="R45" i="3"/>
  <c r="P46" i="3"/>
  <c r="L45" i="3"/>
  <c r="J45" i="3"/>
  <c r="AB124" i="3"/>
  <c r="D124" i="3"/>
  <c r="G124" i="3"/>
  <c r="J124" i="3" s="1"/>
  <c r="F125" i="3"/>
  <c r="W42" i="3"/>
  <c r="X42" i="3"/>
  <c r="AF121" i="3"/>
  <c r="U121" i="3"/>
  <c r="U42" i="3"/>
  <c r="AF42" i="3"/>
  <c r="H44" i="3"/>
  <c r="K44" i="3"/>
  <c r="AD44" i="3"/>
  <c r="W122" i="3" l="1"/>
  <c r="X122" i="3"/>
  <c r="R126" i="3"/>
  <c r="P127" i="3"/>
  <c r="L126" i="3"/>
  <c r="T44" i="3"/>
  <c r="I44" i="3"/>
  <c r="V44" i="3"/>
  <c r="AC44" i="3"/>
  <c r="N45" i="3"/>
  <c r="AE45" i="3"/>
  <c r="M45" i="3"/>
  <c r="O45" i="3" s="1"/>
  <c r="W43" i="3"/>
  <c r="X43" i="3"/>
  <c r="AD45" i="3"/>
  <c r="H45" i="3"/>
  <c r="K45" i="3"/>
  <c r="T123" i="3"/>
  <c r="I123" i="3"/>
  <c r="V123" i="3"/>
  <c r="AC123" i="3"/>
  <c r="Q126" i="3"/>
  <c r="S125" i="3"/>
  <c r="AG42" i="3"/>
  <c r="Y42" i="3"/>
  <c r="AA49" i="3"/>
  <c r="E49" i="3"/>
  <c r="AF122" i="3"/>
  <c r="U122" i="3"/>
  <c r="M125" i="3"/>
  <c r="O125" i="3" s="1"/>
  <c r="N125" i="3"/>
  <c r="AE125" i="3"/>
  <c r="AD124" i="3"/>
  <c r="H124" i="3"/>
  <c r="K124" i="3"/>
  <c r="AG121" i="3"/>
  <c r="Y121" i="3"/>
  <c r="S45" i="3"/>
  <c r="Q46" i="3"/>
  <c r="AF43" i="3"/>
  <c r="U43" i="3"/>
  <c r="P47" i="3"/>
  <c r="L46" i="3"/>
  <c r="R46" i="3"/>
  <c r="J46" i="3"/>
  <c r="F51" i="3"/>
  <c r="AB50" i="3"/>
  <c r="D50" i="3"/>
  <c r="G50" i="3"/>
  <c r="F126" i="3"/>
  <c r="AB125" i="3"/>
  <c r="D125" i="3"/>
  <c r="G125" i="3"/>
  <c r="J125" i="3" s="1"/>
  <c r="E124" i="3"/>
  <c r="AA124" i="3"/>
  <c r="AB51" i="3" l="1"/>
  <c r="D51" i="3"/>
  <c r="G51" i="3"/>
  <c r="F52" i="3"/>
  <c r="H46" i="3"/>
  <c r="K46" i="3"/>
  <c r="AD46" i="3"/>
  <c r="R47" i="3"/>
  <c r="P48" i="3"/>
  <c r="L47" i="3"/>
  <c r="J47" i="3"/>
  <c r="S126" i="3"/>
  <c r="Q127" i="3"/>
  <c r="W123" i="3"/>
  <c r="X123" i="3"/>
  <c r="M46" i="3"/>
  <c r="O46" i="3" s="1"/>
  <c r="N46" i="3"/>
  <c r="AE46" i="3"/>
  <c r="U123" i="3"/>
  <c r="AF123" i="3"/>
  <c r="Q47" i="3"/>
  <c r="S46" i="3"/>
  <c r="L127" i="3"/>
  <c r="R127" i="3"/>
  <c r="P128" i="3"/>
  <c r="K125" i="3"/>
  <c r="AD125" i="3"/>
  <c r="H125" i="3"/>
  <c r="U44" i="3"/>
  <c r="AF44" i="3"/>
  <c r="AE126" i="3"/>
  <c r="M126" i="3"/>
  <c r="O126" i="3" s="1"/>
  <c r="N126" i="3"/>
  <c r="G126" i="3"/>
  <c r="J126" i="3" s="1"/>
  <c r="F127" i="3"/>
  <c r="D126" i="3"/>
  <c r="AB126" i="3"/>
  <c r="AG43" i="3"/>
  <c r="Y43" i="3"/>
  <c r="AA125" i="3"/>
  <c r="E125" i="3"/>
  <c r="AA50" i="3"/>
  <c r="E50" i="3"/>
  <c r="Y122" i="3"/>
  <c r="AG122" i="3"/>
  <c r="AC124" i="3"/>
  <c r="T124" i="3"/>
  <c r="V124" i="3" s="1"/>
  <c r="I124" i="3"/>
  <c r="W44" i="3"/>
  <c r="X44" i="3"/>
  <c r="AC45" i="3"/>
  <c r="T45" i="3"/>
  <c r="V45" i="3" s="1"/>
  <c r="I45" i="3"/>
  <c r="W45" i="3" l="1"/>
  <c r="X45" i="3"/>
  <c r="N47" i="3"/>
  <c r="AE47" i="3"/>
  <c r="M47" i="3"/>
  <c r="O47" i="3" s="1"/>
  <c r="AC125" i="3"/>
  <c r="I125" i="3"/>
  <c r="T125" i="3"/>
  <c r="W124" i="3"/>
  <c r="X124" i="3"/>
  <c r="AG123" i="3"/>
  <c r="Y123" i="3"/>
  <c r="AD126" i="3"/>
  <c r="H126" i="3"/>
  <c r="K126" i="3"/>
  <c r="S47" i="3"/>
  <c r="Q48" i="3"/>
  <c r="AD47" i="3"/>
  <c r="H47" i="3"/>
  <c r="K47" i="3"/>
  <c r="P49" i="3"/>
  <c r="L48" i="3"/>
  <c r="R48" i="3"/>
  <c r="J48" i="3"/>
  <c r="AG44" i="3"/>
  <c r="Y44" i="3"/>
  <c r="F53" i="3"/>
  <c r="AB52" i="3"/>
  <c r="D52" i="3"/>
  <c r="G52" i="3"/>
  <c r="AA51" i="3"/>
  <c r="E51" i="3"/>
  <c r="M127" i="3"/>
  <c r="O127" i="3" s="1"/>
  <c r="N127" i="3"/>
  <c r="AE127" i="3"/>
  <c r="AF45" i="3"/>
  <c r="U45" i="3"/>
  <c r="T46" i="3"/>
  <c r="I46" i="3"/>
  <c r="V46" i="3"/>
  <c r="AC46" i="3"/>
  <c r="E126" i="3"/>
  <c r="AA126" i="3"/>
  <c r="AF124" i="3"/>
  <c r="U124" i="3"/>
  <c r="P129" i="3"/>
  <c r="R128" i="3"/>
  <c r="S127" i="3"/>
  <c r="Q128" i="3"/>
  <c r="AB127" i="3"/>
  <c r="D127" i="3"/>
  <c r="G127" i="3"/>
  <c r="J127" i="3" s="1"/>
  <c r="F128" i="3"/>
  <c r="AG124" i="3" l="1"/>
  <c r="Y124" i="3"/>
  <c r="AF125" i="3"/>
  <c r="U125" i="3"/>
  <c r="M48" i="3"/>
  <c r="O48" i="3" s="1"/>
  <c r="N48" i="3"/>
  <c r="AE48" i="3"/>
  <c r="G128" i="3"/>
  <c r="J128" i="3" s="1"/>
  <c r="F129" i="3"/>
  <c r="AB128" i="3"/>
  <c r="D128" i="3"/>
  <c r="R49" i="3"/>
  <c r="P50" i="3"/>
  <c r="L49" i="3"/>
  <c r="J49" i="3"/>
  <c r="U46" i="3"/>
  <c r="AF46" i="3"/>
  <c r="AA52" i="3"/>
  <c r="E52" i="3"/>
  <c r="V125" i="3"/>
  <c r="T126" i="3"/>
  <c r="I126" i="3"/>
  <c r="V126" i="3"/>
  <c r="AC126" i="3"/>
  <c r="AD127" i="3"/>
  <c r="H127" i="3"/>
  <c r="K127" i="3"/>
  <c r="AC47" i="3"/>
  <c r="T47" i="3"/>
  <c r="I47" i="3"/>
  <c r="V47" i="3"/>
  <c r="AG45" i="3"/>
  <c r="Y45" i="3"/>
  <c r="R129" i="3"/>
  <c r="P130" i="3"/>
  <c r="AA127" i="3"/>
  <c r="E127" i="3"/>
  <c r="W46" i="3"/>
  <c r="X46" i="3"/>
  <c r="Q49" i="3"/>
  <c r="S48" i="3"/>
  <c r="S128" i="3"/>
  <c r="Q129" i="3"/>
  <c r="AB53" i="3"/>
  <c r="D53" i="3"/>
  <c r="G53" i="3"/>
  <c r="F54" i="3"/>
  <c r="L128" i="3"/>
  <c r="H48" i="3"/>
  <c r="K48" i="3"/>
  <c r="AD48" i="3"/>
  <c r="W126" i="3" l="1"/>
  <c r="X126" i="3"/>
  <c r="AA128" i="3"/>
  <c r="E128" i="3"/>
  <c r="AF126" i="3"/>
  <c r="U126" i="3"/>
  <c r="AB129" i="3"/>
  <c r="D129" i="3"/>
  <c r="G129" i="3"/>
  <c r="J129" i="3" s="1"/>
  <c r="F130" i="3"/>
  <c r="AD49" i="3"/>
  <c r="H49" i="3"/>
  <c r="K49" i="3"/>
  <c r="AA53" i="3"/>
  <c r="E53" i="3"/>
  <c r="W47" i="3"/>
  <c r="X47" i="3"/>
  <c r="S49" i="3"/>
  <c r="Q50" i="3"/>
  <c r="AG46" i="3"/>
  <c r="Y46" i="3"/>
  <c r="AC127" i="3"/>
  <c r="T127" i="3"/>
  <c r="I127" i="3"/>
  <c r="R130" i="3"/>
  <c r="P131" i="3"/>
  <c r="S129" i="3"/>
  <c r="Q130" i="3"/>
  <c r="W125" i="3"/>
  <c r="X125" i="3"/>
  <c r="T48" i="3"/>
  <c r="I48" i="3"/>
  <c r="AC48" i="3"/>
  <c r="F55" i="3"/>
  <c r="AB54" i="3"/>
  <c r="D54" i="3"/>
  <c r="G54" i="3"/>
  <c r="N49" i="3"/>
  <c r="AE49" i="3"/>
  <c r="M49" i="3"/>
  <c r="O49" i="3" s="1"/>
  <c r="P51" i="3"/>
  <c r="L50" i="3"/>
  <c r="R50" i="3"/>
  <c r="J50" i="3"/>
  <c r="H128" i="3"/>
  <c r="K128" i="3"/>
  <c r="AD128" i="3"/>
  <c r="AF47" i="3"/>
  <c r="U47" i="3"/>
  <c r="M128" i="3"/>
  <c r="O128" i="3" s="1"/>
  <c r="N128" i="3"/>
  <c r="AE128" i="3"/>
  <c r="L129" i="3"/>
  <c r="AA129" i="3" l="1"/>
  <c r="E129" i="3"/>
  <c r="M50" i="3"/>
  <c r="O50" i="3" s="1"/>
  <c r="N50" i="3"/>
  <c r="AE50" i="3"/>
  <c r="U48" i="3"/>
  <c r="AF48" i="3"/>
  <c r="D130" i="3"/>
  <c r="G130" i="3"/>
  <c r="J130" i="3" s="1"/>
  <c r="AB130" i="3"/>
  <c r="AF127" i="3"/>
  <c r="U127" i="3"/>
  <c r="R51" i="3"/>
  <c r="P52" i="3"/>
  <c r="L51" i="3"/>
  <c r="J51" i="3"/>
  <c r="Y125" i="3"/>
  <c r="AG125" i="3"/>
  <c r="AA54" i="3"/>
  <c r="E54" i="3"/>
  <c r="AG47" i="3"/>
  <c r="Y47" i="3"/>
  <c r="AD129" i="3"/>
  <c r="H129" i="3"/>
  <c r="K129" i="3"/>
  <c r="Q51" i="3"/>
  <c r="S50" i="3"/>
  <c r="R131" i="3"/>
  <c r="L131" i="3"/>
  <c r="J131" i="3"/>
  <c r="AB55" i="3"/>
  <c r="D55" i="3"/>
  <c r="G55" i="3"/>
  <c r="F56" i="3"/>
  <c r="H50" i="3"/>
  <c r="K50" i="3"/>
  <c r="AD50" i="3"/>
  <c r="V127" i="3"/>
  <c r="AG126" i="3"/>
  <c r="Y126" i="3"/>
  <c r="N129" i="3"/>
  <c r="AE129" i="3"/>
  <c r="M129" i="3"/>
  <c r="O129" i="3" s="1"/>
  <c r="Q131" i="3"/>
  <c r="S131" i="3" s="1"/>
  <c r="S130" i="3"/>
  <c r="T128" i="3"/>
  <c r="I128" i="3"/>
  <c r="AC128" i="3"/>
  <c r="L130" i="3"/>
  <c r="V48" i="3"/>
  <c r="AC49" i="3"/>
  <c r="T49" i="3"/>
  <c r="I49" i="3"/>
  <c r="V49" i="3"/>
  <c r="K130" i="3" l="1"/>
  <c r="AD130" i="3"/>
  <c r="H130" i="3"/>
  <c r="AF128" i="3"/>
  <c r="U128" i="3"/>
  <c r="AA130" i="3"/>
  <c r="E130" i="3"/>
  <c r="AF49" i="3"/>
  <c r="U49" i="3"/>
  <c r="W127" i="3"/>
  <c r="X127" i="3"/>
  <c r="F57" i="3"/>
  <c r="AB56" i="3"/>
  <c r="D56" i="3"/>
  <c r="G56" i="3"/>
  <c r="W49" i="3"/>
  <c r="X49" i="3"/>
  <c r="AE131" i="3"/>
  <c r="M131" i="3"/>
  <c r="O131" i="3" s="1"/>
  <c r="N131" i="3"/>
  <c r="M130" i="3"/>
  <c r="O130" i="3" s="1"/>
  <c r="N130" i="3"/>
  <c r="AE130" i="3"/>
  <c r="AA55" i="3"/>
  <c r="E55" i="3"/>
  <c r="W48" i="3"/>
  <c r="X48" i="3"/>
  <c r="S51" i="3"/>
  <c r="Q52" i="3"/>
  <c r="V128" i="3"/>
  <c r="H131" i="3"/>
  <c r="K131" i="3"/>
  <c r="AD131" i="3"/>
  <c r="AD51" i="3"/>
  <c r="H51" i="3"/>
  <c r="K51" i="3"/>
  <c r="N51" i="3"/>
  <c r="AE51" i="3"/>
  <c r="M51" i="3"/>
  <c r="O51" i="3" s="1"/>
  <c r="P53" i="3"/>
  <c r="L52" i="3"/>
  <c r="R52" i="3"/>
  <c r="J52" i="3"/>
  <c r="T50" i="3"/>
  <c r="I50" i="3"/>
  <c r="V50" i="3"/>
  <c r="AC50" i="3"/>
  <c r="AC129" i="3"/>
  <c r="T129" i="3"/>
  <c r="I129" i="3"/>
  <c r="V129" i="3"/>
  <c r="W50" i="3" l="1"/>
  <c r="X50" i="3"/>
  <c r="W128" i="3"/>
  <c r="X128" i="3"/>
  <c r="Q53" i="3"/>
  <c r="S52" i="3"/>
  <c r="R53" i="3"/>
  <c r="P54" i="3"/>
  <c r="L53" i="3"/>
  <c r="J53" i="3"/>
  <c r="AG48" i="3"/>
  <c r="Y48" i="3"/>
  <c r="AC51" i="3"/>
  <c r="T51" i="3"/>
  <c r="I51" i="3"/>
  <c r="V51" i="3"/>
  <c r="T131" i="3"/>
  <c r="I131" i="3"/>
  <c r="V131" i="3"/>
  <c r="AC131" i="3"/>
  <c r="AA56" i="3"/>
  <c r="E56" i="3"/>
  <c r="U50" i="3"/>
  <c r="AF50" i="3"/>
  <c r="W129" i="3"/>
  <c r="X129" i="3"/>
  <c r="AF129" i="3"/>
  <c r="U129" i="3"/>
  <c r="Y127" i="3"/>
  <c r="AG127" i="3"/>
  <c r="H52" i="3"/>
  <c r="K52" i="3"/>
  <c r="AD52" i="3"/>
  <c r="M52" i="3"/>
  <c r="O52" i="3" s="1"/>
  <c r="N52" i="3"/>
  <c r="AE52" i="3"/>
  <c r="AG49" i="3"/>
  <c r="Y49" i="3"/>
  <c r="I130" i="3"/>
  <c r="AC130" i="3"/>
  <c r="T130" i="3"/>
  <c r="AB57" i="3"/>
  <c r="D57" i="3"/>
  <c r="G57" i="3"/>
  <c r="F58" i="3"/>
  <c r="AD53" i="3" l="1"/>
  <c r="H53" i="3"/>
  <c r="K53" i="3"/>
  <c r="T52" i="3"/>
  <c r="I52" i="3"/>
  <c r="V52" i="3"/>
  <c r="AC52" i="3"/>
  <c r="AA57" i="3"/>
  <c r="E57" i="3"/>
  <c r="P55" i="3"/>
  <c r="L54" i="3"/>
  <c r="R54" i="3"/>
  <c r="J54" i="3"/>
  <c r="U130" i="3"/>
  <c r="AF130" i="3"/>
  <c r="V130" i="3"/>
  <c r="N53" i="3"/>
  <c r="AE53" i="3"/>
  <c r="M53" i="3"/>
  <c r="O53" i="3" s="1"/>
  <c r="AF131" i="3"/>
  <c r="U131" i="3"/>
  <c r="S53" i="3"/>
  <c r="Q54" i="3"/>
  <c r="AF51" i="3"/>
  <c r="U51" i="3"/>
  <c r="F59" i="3"/>
  <c r="AB58" i="3"/>
  <c r="D58" i="3"/>
  <c r="G58" i="3"/>
  <c r="W131" i="3"/>
  <c r="X131" i="3"/>
  <c r="W51" i="3"/>
  <c r="X51" i="3"/>
  <c r="AG128" i="3"/>
  <c r="Y128" i="3"/>
  <c r="AG129" i="3"/>
  <c r="Y129" i="3"/>
  <c r="AG50" i="3"/>
  <c r="Y50" i="3"/>
  <c r="AA58" i="3" l="1"/>
  <c r="E58" i="3"/>
  <c r="M54" i="3"/>
  <c r="O54" i="3" s="1"/>
  <c r="N54" i="3"/>
  <c r="AE54" i="3"/>
  <c r="W130" i="3"/>
  <c r="X130" i="3"/>
  <c r="AC53" i="3"/>
  <c r="T53" i="3"/>
  <c r="V53" i="3" s="1"/>
  <c r="I53" i="3"/>
  <c r="Q55" i="3"/>
  <c r="S54" i="3"/>
  <c r="AG51" i="3"/>
  <c r="Y51" i="3"/>
  <c r="R55" i="3"/>
  <c r="P56" i="3"/>
  <c r="L55" i="3"/>
  <c r="J55" i="3"/>
  <c r="AG131" i="3"/>
  <c r="Y131" i="3"/>
  <c r="W52" i="3"/>
  <c r="X52" i="3"/>
  <c r="U52" i="3"/>
  <c r="AF52" i="3"/>
  <c r="AB59" i="3"/>
  <c r="D59" i="3"/>
  <c r="G59" i="3"/>
  <c r="F60" i="3"/>
  <c r="H54" i="3"/>
  <c r="K54" i="3"/>
  <c r="AD54" i="3"/>
  <c r="W53" i="3" l="1"/>
  <c r="X53" i="3"/>
  <c r="T54" i="3"/>
  <c r="I54" i="3"/>
  <c r="V54" i="3"/>
  <c r="AC54" i="3"/>
  <c r="F61" i="3"/>
  <c r="AB60" i="3"/>
  <c r="D60" i="3"/>
  <c r="G60" i="3"/>
  <c r="AG52" i="3"/>
  <c r="Y52" i="3"/>
  <c r="N55" i="3"/>
  <c r="AE55" i="3"/>
  <c r="M55" i="3"/>
  <c r="O55" i="3" s="1"/>
  <c r="P57" i="3"/>
  <c r="L56" i="3"/>
  <c r="R56" i="3"/>
  <c r="J56" i="3"/>
  <c r="S55" i="3"/>
  <c r="Q56" i="3"/>
  <c r="AF53" i="3"/>
  <c r="U53" i="3"/>
  <c r="AA59" i="3"/>
  <c r="E59" i="3"/>
  <c r="AD55" i="3"/>
  <c r="H55" i="3"/>
  <c r="K55" i="3"/>
  <c r="Y130" i="3"/>
  <c r="AG130" i="3"/>
  <c r="AB61" i="3" l="1"/>
  <c r="D61" i="3"/>
  <c r="G61" i="3"/>
  <c r="F62" i="3"/>
  <c r="Q57" i="3"/>
  <c r="S56" i="3"/>
  <c r="W54" i="3"/>
  <c r="X54" i="3"/>
  <c r="AA60" i="3"/>
  <c r="E60" i="3"/>
  <c r="AC55" i="3"/>
  <c r="T55" i="3"/>
  <c r="V55" i="3" s="1"/>
  <c r="I55" i="3"/>
  <c r="H56" i="3"/>
  <c r="K56" i="3"/>
  <c r="AD56" i="3"/>
  <c r="M56" i="3"/>
  <c r="O56" i="3" s="1"/>
  <c r="N56" i="3"/>
  <c r="AE56" i="3"/>
  <c r="R57" i="3"/>
  <c r="P58" i="3"/>
  <c r="L57" i="3"/>
  <c r="J57" i="3"/>
  <c r="U54" i="3"/>
  <c r="AF54" i="3"/>
  <c r="AG53" i="3"/>
  <c r="Y53" i="3"/>
  <c r="W55" i="3" l="1"/>
  <c r="X55" i="3"/>
  <c r="P59" i="3"/>
  <c r="L58" i="3"/>
  <c r="R58" i="3"/>
  <c r="J58" i="3"/>
  <c r="S57" i="3"/>
  <c r="Q58" i="3"/>
  <c r="AA61" i="3"/>
  <c r="E61" i="3"/>
  <c r="N57" i="3"/>
  <c r="AE57" i="3"/>
  <c r="M57" i="3"/>
  <c r="O57" i="3" s="1"/>
  <c r="AG54" i="3"/>
  <c r="Y54" i="3"/>
  <c r="T56" i="3"/>
  <c r="I56" i="3"/>
  <c r="V56" i="3"/>
  <c r="AC56" i="3"/>
  <c r="F63" i="3"/>
  <c r="AB62" i="3"/>
  <c r="D62" i="3"/>
  <c r="G62" i="3"/>
  <c r="AD57" i="3"/>
  <c r="H57" i="3"/>
  <c r="K57" i="3"/>
  <c r="AF55" i="3"/>
  <c r="U55" i="3"/>
  <c r="AB63" i="3" l="1"/>
  <c r="D63" i="3"/>
  <c r="G63" i="3"/>
  <c r="F64" i="3"/>
  <c r="W56" i="3"/>
  <c r="X56" i="3"/>
  <c r="AA62" i="3"/>
  <c r="E62" i="3"/>
  <c r="H58" i="3"/>
  <c r="K58" i="3"/>
  <c r="AD58" i="3"/>
  <c r="M58" i="3"/>
  <c r="O58" i="3" s="1"/>
  <c r="N58" i="3"/>
  <c r="AE58" i="3"/>
  <c r="R59" i="3"/>
  <c r="P60" i="3"/>
  <c r="L59" i="3"/>
  <c r="J59" i="3"/>
  <c r="AG55" i="3"/>
  <c r="Y55" i="3"/>
  <c r="Q59" i="3"/>
  <c r="S58" i="3"/>
  <c r="U56" i="3"/>
  <c r="AF56" i="3"/>
  <c r="AC57" i="3"/>
  <c r="T57" i="3"/>
  <c r="I57" i="3"/>
  <c r="V57" i="3"/>
  <c r="AD59" i="3" l="1"/>
  <c r="H59" i="3"/>
  <c r="K59" i="3"/>
  <c r="W57" i="3"/>
  <c r="X57" i="3"/>
  <c r="F65" i="3"/>
  <c r="AB64" i="3"/>
  <c r="D64" i="3"/>
  <c r="G64" i="3"/>
  <c r="AF57" i="3"/>
  <c r="U57" i="3"/>
  <c r="T58" i="3"/>
  <c r="V58" i="3" s="1"/>
  <c r="I58" i="3"/>
  <c r="AC58" i="3"/>
  <c r="N59" i="3"/>
  <c r="AE59" i="3"/>
  <c r="M59" i="3"/>
  <c r="O59" i="3" s="1"/>
  <c r="S59" i="3"/>
  <c r="Q60" i="3"/>
  <c r="AG56" i="3"/>
  <c r="Y56" i="3"/>
  <c r="P61" i="3"/>
  <c r="L60" i="3"/>
  <c r="R60" i="3"/>
  <c r="J60" i="3"/>
  <c r="AA63" i="3"/>
  <c r="E63" i="3"/>
  <c r="R61" i="3" l="1"/>
  <c r="P62" i="3"/>
  <c r="L61" i="3"/>
  <c r="J61" i="3"/>
  <c r="AA64" i="3"/>
  <c r="E64" i="3"/>
  <c r="H60" i="3"/>
  <c r="K60" i="3"/>
  <c r="AD60" i="3"/>
  <c r="Q61" i="3"/>
  <c r="S60" i="3"/>
  <c r="AB65" i="3"/>
  <c r="D65" i="3"/>
  <c r="G65" i="3"/>
  <c r="F66" i="3"/>
  <c r="AC59" i="3"/>
  <c r="T59" i="3"/>
  <c r="I59" i="3"/>
  <c r="V59" i="3"/>
  <c r="AG57" i="3"/>
  <c r="Y57" i="3"/>
  <c r="W58" i="3"/>
  <c r="X58" i="3"/>
  <c r="M60" i="3"/>
  <c r="O60" i="3" s="1"/>
  <c r="N60" i="3"/>
  <c r="AE60" i="3"/>
  <c r="U58" i="3"/>
  <c r="AF58" i="3"/>
  <c r="T60" i="3" l="1"/>
  <c r="I60" i="3"/>
  <c r="V60" i="3"/>
  <c r="AC60" i="3"/>
  <c r="F67" i="3"/>
  <c r="AB66" i="3"/>
  <c r="D66" i="3"/>
  <c r="G66" i="3"/>
  <c r="N61" i="3"/>
  <c r="AE61" i="3"/>
  <c r="M61" i="3"/>
  <c r="O61" i="3" s="1"/>
  <c r="AG58" i="3"/>
  <c r="Y58" i="3"/>
  <c r="W59" i="3"/>
  <c r="X59" i="3"/>
  <c r="AD61" i="3"/>
  <c r="H61" i="3"/>
  <c r="K61" i="3"/>
  <c r="P63" i="3"/>
  <c r="L62" i="3"/>
  <c r="R62" i="3"/>
  <c r="J62" i="3"/>
  <c r="S61" i="3"/>
  <c r="Q62" i="3"/>
  <c r="AF59" i="3"/>
  <c r="U59" i="3"/>
  <c r="AA65" i="3"/>
  <c r="E65" i="3"/>
  <c r="M62" i="3" l="1"/>
  <c r="O62" i="3" s="1"/>
  <c r="N62" i="3"/>
  <c r="AE62" i="3"/>
  <c r="AA66" i="3"/>
  <c r="E66" i="3"/>
  <c r="H62" i="3"/>
  <c r="K62" i="3"/>
  <c r="AD62" i="3"/>
  <c r="R63" i="3"/>
  <c r="P64" i="3"/>
  <c r="L63" i="3"/>
  <c r="J63" i="3"/>
  <c r="AB67" i="3"/>
  <c r="D67" i="3"/>
  <c r="G67" i="3"/>
  <c r="F68" i="3"/>
  <c r="AG59" i="3"/>
  <c r="Y59" i="3"/>
  <c r="AC61" i="3"/>
  <c r="T61" i="3"/>
  <c r="I61" i="3"/>
  <c r="W60" i="3"/>
  <c r="X60" i="3"/>
  <c r="Q63" i="3"/>
  <c r="S62" i="3"/>
  <c r="U60" i="3"/>
  <c r="AF60" i="3"/>
  <c r="AF61" i="3" l="1"/>
  <c r="U61" i="3"/>
  <c r="AD63" i="3"/>
  <c r="H63" i="3"/>
  <c r="K63" i="3"/>
  <c r="P65" i="3"/>
  <c r="L64" i="3"/>
  <c r="R64" i="3"/>
  <c r="J64" i="3"/>
  <c r="V61" i="3"/>
  <c r="S63" i="3"/>
  <c r="Q64" i="3"/>
  <c r="N63" i="3"/>
  <c r="AE63" i="3"/>
  <c r="M63" i="3"/>
  <c r="O63" i="3" s="1"/>
  <c r="T62" i="3"/>
  <c r="I62" i="3"/>
  <c r="V62" i="3"/>
  <c r="AC62" i="3"/>
  <c r="F69" i="3"/>
  <c r="AB68" i="3"/>
  <c r="D68" i="3"/>
  <c r="G68" i="3"/>
  <c r="AA67" i="3"/>
  <c r="E67" i="3"/>
  <c r="AG60" i="3"/>
  <c r="Y60" i="3"/>
  <c r="W61" i="3" l="1"/>
  <c r="X61" i="3"/>
  <c r="AB69" i="3"/>
  <c r="D69" i="3"/>
  <c r="G69" i="3"/>
  <c r="F70" i="3"/>
  <c r="R65" i="3"/>
  <c r="P66" i="3"/>
  <c r="L65" i="3"/>
  <c r="J65" i="3"/>
  <c r="Q65" i="3"/>
  <c r="S64" i="3"/>
  <c r="H64" i="3"/>
  <c r="K64" i="3"/>
  <c r="AD64" i="3"/>
  <c r="M64" i="3"/>
  <c r="O64" i="3" s="1"/>
  <c r="N64" i="3"/>
  <c r="AE64" i="3"/>
  <c r="AC63" i="3"/>
  <c r="T63" i="3"/>
  <c r="I63" i="3"/>
  <c r="AA68" i="3"/>
  <c r="E68" i="3"/>
  <c r="W62" i="3"/>
  <c r="X62" i="3"/>
  <c r="U62" i="3"/>
  <c r="AF62" i="3"/>
  <c r="AF63" i="3" l="1"/>
  <c r="U63" i="3"/>
  <c r="S65" i="3"/>
  <c r="Q66" i="3"/>
  <c r="N65" i="3"/>
  <c r="AE65" i="3"/>
  <c r="M65" i="3"/>
  <c r="O65" i="3" s="1"/>
  <c r="V63" i="3"/>
  <c r="AA69" i="3"/>
  <c r="E69" i="3"/>
  <c r="AG61" i="3"/>
  <c r="Y61" i="3"/>
  <c r="AD65" i="3"/>
  <c r="H65" i="3"/>
  <c r="K65" i="3"/>
  <c r="P67" i="3"/>
  <c r="L66" i="3"/>
  <c r="R66" i="3"/>
  <c r="J66" i="3"/>
  <c r="D70" i="3"/>
  <c r="F71" i="3"/>
  <c r="G70" i="3"/>
  <c r="AB70" i="3"/>
  <c r="AG62" i="3"/>
  <c r="Y62" i="3"/>
  <c r="T64" i="3"/>
  <c r="I64" i="3"/>
  <c r="V64" i="3"/>
  <c r="AC64" i="3"/>
  <c r="AB71" i="3" l="1"/>
  <c r="D71" i="3"/>
  <c r="G71" i="3"/>
  <c r="F72" i="3"/>
  <c r="W63" i="3"/>
  <c r="X63" i="3"/>
  <c r="M66" i="3"/>
  <c r="O66" i="3" s="1"/>
  <c r="N66" i="3"/>
  <c r="AE66" i="3"/>
  <c r="E70" i="3"/>
  <c r="AA70" i="3"/>
  <c r="W64" i="3"/>
  <c r="X64" i="3"/>
  <c r="U64" i="3"/>
  <c r="AF64" i="3"/>
  <c r="H66" i="3"/>
  <c r="K66" i="3"/>
  <c r="AD66" i="3"/>
  <c r="R67" i="3"/>
  <c r="P68" i="3"/>
  <c r="L67" i="3"/>
  <c r="J67" i="3"/>
  <c r="Q67" i="3"/>
  <c r="S66" i="3"/>
  <c r="AC65" i="3"/>
  <c r="T65" i="3"/>
  <c r="I65" i="3"/>
  <c r="V65" i="3"/>
  <c r="S67" i="3" l="1"/>
  <c r="Q68" i="3"/>
  <c r="AF65" i="3"/>
  <c r="U65" i="3"/>
  <c r="N67" i="3"/>
  <c r="AE67" i="3"/>
  <c r="M67" i="3"/>
  <c r="O67" i="3" s="1"/>
  <c r="AG63" i="3"/>
  <c r="Y63" i="3"/>
  <c r="W65" i="3"/>
  <c r="X65" i="3"/>
  <c r="F73" i="3"/>
  <c r="AB72" i="3"/>
  <c r="D72" i="3"/>
  <c r="G72" i="3"/>
  <c r="AG64" i="3"/>
  <c r="Y64" i="3"/>
  <c r="AD67" i="3"/>
  <c r="H67" i="3"/>
  <c r="K67" i="3"/>
  <c r="P69" i="3"/>
  <c r="L68" i="3"/>
  <c r="R68" i="3"/>
  <c r="J68" i="3"/>
  <c r="T66" i="3"/>
  <c r="I66" i="3"/>
  <c r="V66" i="3"/>
  <c r="AC66" i="3"/>
  <c r="AA71" i="3"/>
  <c r="E71" i="3"/>
  <c r="R69" i="3" l="1"/>
  <c r="L69" i="3"/>
  <c r="P70" i="3"/>
  <c r="J69" i="3"/>
  <c r="M68" i="3"/>
  <c r="O68" i="3" s="1"/>
  <c r="N68" i="3"/>
  <c r="AE68" i="3"/>
  <c r="W66" i="3"/>
  <c r="X66" i="3"/>
  <c r="AG65" i="3"/>
  <c r="Y65" i="3"/>
  <c r="U66" i="3"/>
  <c r="AF66" i="3"/>
  <c r="Q69" i="3"/>
  <c r="S68" i="3"/>
  <c r="AC67" i="3"/>
  <c r="T67" i="3"/>
  <c r="I67" i="3"/>
  <c r="V67" i="3"/>
  <c r="AA72" i="3"/>
  <c r="E72" i="3"/>
  <c r="H68" i="3"/>
  <c r="K68" i="3"/>
  <c r="AD68" i="3"/>
  <c r="AB73" i="3"/>
  <c r="D73" i="3"/>
  <c r="G73" i="3"/>
  <c r="F74" i="3"/>
  <c r="AG66" i="3" l="1"/>
  <c r="Y66" i="3"/>
  <c r="F75" i="3"/>
  <c r="AB74" i="3"/>
  <c r="D74" i="3"/>
  <c r="G74" i="3"/>
  <c r="AD69" i="3"/>
  <c r="H69" i="3"/>
  <c r="K69" i="3"/>
  <c r="T68" i="3"/>
  <c r="I68" i="3"/>
  <c r="AC68" i="3"/>
  <c r="AF67" i="3"/>
  <c r="U67" i="3"/>
  <c r="AA73" i="3"/>
  <c r="E73" i="3"/>
  <c r="S69" i="3"/>
  <c r="Q70" i="3"/>
  <c r="W67" i="3"/>
  <c r="X67" i="3"/>
  <c r="L70" i="3"/>
  <c r="R70" i="3"/>
  <c r="P71" i="3"/>
  <c r="J70" i="3"/>
  <c r="N69" i="3"/>
  <c r="AE69" i="3"/>
  <c r="M69" i="3"/>
  <c r="O69" i="3" s="1"/>
  <c r="U68" i="3" l="1"/>
  <c r="AF68" i="3"/>
  <c r="AG67" i="3"/>
  <c r="Y67" i="3"/>
  <c r="Q71" i="3"/>
  <c r="S70" i="3"/>
  <c r="AC69" i="3"/>
  <c r="T69" i="3"/>
  <c r="I69" i="3"/>
  <c r="V69" i="3"/>
  <c r="M70" i="3"/>
  <c r="O70" i="3" s="1"/>
  <c r="N70" i="3"/>
  <c r="AE70" i="3"/>
  <c r="AA74" i="3"/>
  <c r="E74" i="3"/>
  <c r="AB75" i="3"/>
  <c r="D75" i="3"/>
  <c r="G75" i="3"/>
  <c r="F76" i="3"/>
  <c r="H70" i="3"/>
  <c r="K70" i="3"/>
  <c r="AD70" i="3"/>
  <c r="R71" i="3"/>
  <c r="P72" i="3"/>
  <c r="L71" i="3"/>
  <c r="J71" i="3"/>
  <c r="V68" i="3"/>
  <c r="I70" i="3" l="1"/>
  <c r="T70" i="3"/>
  <c r="V70" i="3"/>
  <c r="AC70" i="3"/>
  <c r="F77" i="3"/>
  <c r="AB76" i="3"/>
  <c r="D76" i="3"/>
  <c r="G76" i="3"/>
  <c r="AA75" i="3"/>
  <c r="E75" i="3"/>
  <c r="W69" i="3"/>
  <c r="X69" i="3"/>
  <c r="W68" i="3"/>
  <c r="X68" i="3"/>
  <c r="AF69" i="3"/>
  <c r="U69" i="3"/>
  <c r="S71" i="3"/>
  <c r="Q72" i="3"/>
  <c r="AD71" i="3"/>
  <c r="H71" i="3"/>
  <c r="K71" i="3"/>
  <c r="N71" i="3"/>
  <c r="AE71" i="3"/>
  <c r="M71" i="3"/>
  <c r="O71" i="3" s="1"/>
  <c r="R72" i="3"/>
  <c r="P73" i="3"/>
  <c r="L72" i="3"/>
  <c r="J72" i="3"/>
  <c r="AA76" i="3" l="1"/>
  <c r="E76" i="3"/>
  <c r="AB77" i="3"/>
  <c r="D77" i="3"/>
  <c r="G77" i="3"/>
  <c r="M72" i="3"/>
  <c r="O72" i="3" s="1"/>
  <c r="N72" i="3"/>
  <c r="AE72" i="3"/>
  <c r="R73" i="3"/>
  <c r="P74" i="3"/>
  <c r="L73" i="3"/>
  <c r="J73" i="3"/>
  <c r="AG68" i="3"/>
  <c r="Y68" i="3"/>
  <c r="AC71" i="3"/>
  <c r="T71" i="3"/>
  <c r="I71" i="3"/>
  <c r="V71" i="3"/>
  <c r="Q73" i="3"/>
  <c r="S72" i="3"/>
  <c r="H72" i="3"/>
  <c r="K72" i="3"/>
  <c r="AD72" i="3"/>
  <c r="W70" i="3"/>
  <c r="X70" i="3"/>
  <c r="U70" i="3"/>
  <c r="AF70" i="3"/>
  <c r="AG69" i="3"/>
  <c r="Y69" i="3"/>
  <c r="P75" i="3" l="1"/>
  <c r="L74" i="3"/>
  <c r="R74" i="3"/>
  <c r="J74" i="3"/>
  <c r="T72" i="3"/>
  <c r="I72" i="3"/>
  <c r="V72" i="3"/>
  <c r="AC72" i="3"/>
  <c r="AF71" i="3"/>
  <c r="U71" i="3"/>
  <c r="W71" i="3"/>
  <c r="X71" i="3"/>
  <c r="AG70" i="3"/>
  <c r="Y70" i="3"/>
  <c r="N73" i="3"/>
  <c r="AE73" i="3"/>
  <c r="M73" i="3"/>
  <c r="O73" i="3" s="1"/>
  <c r="S73" i="3"/>
  <c r="Q74" i="3"/>
  <c r="AA77" i="3"/>
  <c r="E77" i="3"/>
  <c r="AD73" i="3"/>
  <c r="H73" i="3"/>
  <c r="K73" i="3"/>
  <c r="AC73" i="3" l="1"/>
  <c r="T73" i="3"/>
  <c r="V73" i="3" s="1"/>
  <c r="I73" i="3"/>
  <c r="Q75" i="3"/>
  <c r="S74" i="3"/>
  <c r="U72" i="3"/>
  <c r="AF72" i="3"/>
  <c r="AG71" i="3"/>
  <c r="Y71" i="3"/>
  <c r="W72" i="3"/>
  <c r="X72" i="3"/>
  <c r="H74" i="3"/>
  <c r="K74" i="3"/>
  <c r="AD74" i="3"/>
  <c r="M74" i="3"/>
  <c r="O74" i="3" s="1"/>
  <c r="N74" i="3"/>
  <c r="AE74" i="3"/>
  <c r="R75" i="3"/>
  <c r="P76" i="3"/>
  <c r="L75" i="3"/>
  <c r="J75" i="3"/>
  <c r="AD75" i="3" l="1"/>
  <c r="H75" i="3"/>
  <c r="K75" i="3"/>
  <c r="P77" i="3"/>
  <c r="L76" i="3"/>
  <c r="R76" i="3"/>
  <c r="J76" i="3"/>
  <c r="S75" i="3"/>
  <c r="Q76" i="3"/>
  <c r="AF73" i="3"/>
  <c r="U73" i="3"/>
  <c r="AG72" i="3"/>
  <c r="Y72" i="3"/>
  <c r="N75" i="3"/>
  <c r="AE75" i="3"/>
  <c r="M75" i="3"/>
  <c r="O75" i="3" s="1"/>
  <c r="W73" i="3"/>
  <c r="X73" i="3"/>
  <c r="T74" i="3"/>
  <c r="I74" i="3"/>
  <c r="V74" i="3"/>
  <c r="AC74" i="3"/>
  <c r="AG73" i="3" l="1"/>
  <c r="Y73" i="3"/>
  <c r="W74" i="3"/>
  <c r="X74" i="3"/>
  <c r="U74" i="3"/>
  <c r="AF74" i="3"/>
  <c r="Q77" i="3"/>
  <c r="S76" i="3"/>
  <c r="H76" i="3"/>
  <c r="K76" i="3"/>
  <c r="AD76" i="3"/>
  <c r="M76" i="3"/>
  <c r="O76" i="3" s="1"/>
  <c r="N76" i="3"/>
  <c r="AE76" i="3"/>
  <c r="R77" i="3"/>
  <c r="P78" i="3"/>
  <c r="L77" i="3"/>
  <c r="J77" i="3"/>
  <c r="AC75" i="3"/>
  <c r="T75" i="3"/>
  <c r="I75" i="3"/>
  <c r="V75" i="3"/>
  <c r="W75" i="3" l="1"/>
  <c r="X75" i="3"/>
  <c r="T76" i="3"/>
  <c r="I76" i="3"/>
  <c r="V76" i="3"/>
  <c r="AC76" i="3"/>
  <c r="AD77" i="3"/>
  <c r="H77" i="3"/>
  <c r="K77" i="3"/>
  <c r="L78" i="3"/>
  <c r="R78" i="3"/>
  <c r="J78" i="3"/>
  <c r="AF75" i="3"/>
  <c r="U75" i="3"/>
  <c r="S77" i="3"/>
  <c r="Q78" i="3"/>
  <c r="S78" i="3" s="1"/>
  <c r="N77" i="3"/>
  <c r="AE77" i="3"/>
  <c r="M77" i="3"/>
  <c r="O77" i="3" s="1"/>
  <c r="AG74" i="3"/>
  <c r="Y74" i="3"/>
  <c r="M78" i="3" l="1"/>
  <c r="O78" i="3" s="1"/>
  <c r="N78" i="3"/>
  <c r="AE78" i="3"/>
  <c r="K78" i="3"/>
  <c r="AD78" i="3"/>
  <c r="H78" i="3"/>
  <c r="AC77" i="3"/>
  <c r="T77" i="3"/>
  <c r="I77" i="3"/>
  <c r="V77" i="3"/>
  <c r="W76" i="3"/>
  <c r="X76" i="3"/>
  <c r="U76" i="3"/>
  <c r="AF76" i="3"/>
  <c r="AG75" i="3"/>
  <c r="Y75" i="3"/>
  <c r="AG76" i="3" l="1"/>
  <c r="Y76" i="3"/>
  <c r="I78" i="3"/>
  <c r="AC78" i="3"/>
  <c r="T78" i="3"/>
  <c r="W77" i="3"/>
  <c r="X77" i="3"/>
  <c r="AF77" i="3"/>
  <c r="U77" i="3"/>
  <c r="U78" i="3" l="1"/>
  <c r="AF78" i="3"/>
  <c r="AG77" i="3"/>
  <c r="Y77" i="3"/>
  <c r="V78" i="3"/>
  <c r="W78" i="3" l="1"/>
  <c r="X78" i="3"/>
  <c r="Y78" i="3" l="1"/>
  <c r="AG78" i="3"/>
</calcChain>
</file>

<file path=xl/sharedStrings.xml><?xml version="1.0" encoding="utf-8"?>
<sst xmlns="http://schemas.openxmlformats.org/spreadsheetml/2006/main" count="254" uniqueCount="116">
  <si>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</si>
  <si>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</si>
  <si>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</si>
  <si>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</si>
  <si>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</si>
  <si>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</si>
  <si>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</si>
  <si>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</si>
  <si>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</si>
  <si>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</si>
  <si>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</si>
  <si>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</si>
  <si>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</si>
  <si>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</si>
  <si>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</si>
  <si>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</si>
  <si>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</si>
  <si>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</si>
  <si>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</si>
  <si>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</si>
  <si>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</si>
  <si>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</si>
  <si>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</si>
  <si>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</si>
  <si>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</si>
  <si>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</si>
  <si>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</si>
  <si>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</si>
  <si>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</si>
  <si>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</si>
  <si>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</si>
  <si>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</si>
  <si>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</si>
  <si>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</si>
  <si>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</si>
  <si>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</si>
  <si>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</si>
  <si>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</si>
  <si>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</si>
  <si>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</si>
  <si>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</si>
  <si>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</si>
  <si>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</si>
  <si>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</si>
  <si>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</si>
  <si>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</si>
  <si>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</si>
  <si>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</si>
  <si>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</si>
  <si>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</si>
  <si>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</si>
  <si>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</si>
  <si>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</si>
  <si>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</si>
  <si>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</si>
  <si>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</si>
  <si>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</si>
  <si>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</si>
  <si>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</si>
  <si>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</si>
  <si>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</si>
  <si>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</si>
  <si>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</si>
  <si>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</si>
  <si>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</si>
  <si>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</si>
  <si>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</si>
  <si>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</si>
  <si>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</si>
  <si>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</si>
  <si>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</si>
  <si>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</si>
  <si>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</si>
  <si>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</si>
  <si>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</si>
  <si>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</si>
  <si>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</si>
  <si>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</si>
  <si>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</si>
  <si>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</si>
  <si>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</si>
  <si>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</si>
  <si>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</si>
  <si>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</si>
  <si>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</si>
  <si>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</si>
  <si>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</si>
  <si>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</si>
  <si>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</si>
  <si>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</si>
  <si>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</si>
  <si>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</si>
  <si>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</si>
  <si>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</si>
  <si>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</si>
  <si>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</si>
  <si>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D/f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</si>
  <si>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</si>
  <si>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</si>
  <si>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</si>
  <si>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</si>
  <si>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</si>
  <si>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</si>
  <si>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</si>
  <si>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</si>
  <si>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</si>
  <si>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</si>
  <si>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</si>
  <si>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</si>
  <si>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</si>
  <si>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f2</t>
  </si>
  <si>
    <t>(lbm-R/lbf-ft)^0.5</t>
  </si>
  <si>
    <t>K</t>
  </si>
  <si>
    <t>lbm/ft</t>
  </si>
  <si>
    <t>*</t>
  </si>
  <si>
    <t>* = from "Lumped Adiabatic Example - Example 7.1b"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</si>
</sst>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  <xf numFmtId="167" fontId="0" fillId="6" borderId="0" xfId="0" applyNumberFormat="1" applyFill="1"/>
    <xf numFmtId="0" fontId="2" fillId="6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Data'!$AB$3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Data'!$AA$5:$AA$131</c:f>
              <c:numCache>
                <c:formatCode>General</c:formatCode>
                <c:ptCount val="127"/>
                <c:pt idx="0">
                  <c:v>0</c:v>
                </c:pt>
                <c:pt idx="1">
                  <c:v>7.1275523388556708E-2</c:v>
                </c:pt>
                <c:pt idx="2">
                  <c:v>0.13491042494554431</c:v>
                </c:pt>
                <c:pt idx="3">
                  <c:v>0.19191340952193084</c:v>
                </c:pt>
                <c:pt idx="4">
                  <c:v>0.24313356181642837</c:v>
                </c:pt>
                <c:pt idx="5">
                  <c:v>0.28928963773284916</c:v>
                </c:pt>
                <c:pt idx="6">
                  <c:v>0.33099327890465191</c:v>
                </c:pt>
                <c:pt idx="7">
                  <c:v>0.36876754875003709</c:v>
                </c:pt>
                <c:pt idx="8">
                  <c:v>0.40306183668270862</c:v>
                </c:pt>
                <c:pt idx="9">
                  <c:v>0.4342639209717073</c:v>
                </c:pt>
                <c:pt idx="10">
                  <c:v>0.46270979239465454</c:v>
                </c:pt>
                <c:pt idx="11">
                  <c:v>0.48869170104307652</c:v>
                </c:pt>
                <c:pt idx="12">
                  <c:v>0.51246478399159001</c:v>
                </c:pt>
                <c:pt idx="13">
                  <c:v>0.53425255255857051</c:v>
                </c:pt>
                <c:pt idx="14">
                  <c:v>0.55425145780904805</c:v>
                </c:pt>
                <c:pt idx="15">
                  <c:v>0.57263470691987706</c:v>
                </c:pt>
                <c:pt idx="16">
                  <c:v>0.58955546751363841</c:v>
                </c:pt>
                <c:pt idx="17">
                  <c:v>0.60514956948770926</c:v>
                </c:pt>
                <c:pt idx="18">
                  <c:v>0.61953779231202799</c:v>
                </c:pt>
                <c:pt idx="19">
                  <c:v>0.63282780882582934</c:v>
                </c:pt>
                <c:pt idx="20">
                  <c:v>0.64511584316857662</c:v>
                </c:pt>
                <c:pt idx="21">
                  <c:v>0.6564880898330836</c:v>
                </c:pt>
                <c:pt idx="22">
                  <c:v>0.66702193232205442</c:v>
                </c:pt>
                <c:pt idx="23">
                  <c:v>0.67678699305906764</c:v>
                </c:pt>
                <c:pt idx="24">
                  <c:v>0.6858460406951008</c:v>
                </c:pt>
                <c:pt idx="25">
                  <c:v>0.69425577648671166</c:v>
                </c:pt>
                <c:pt idx="26">
                  <c:v>0.70206751778810739</c:v>
                </c:pt>
                <c:pt idx="27">
                  <c:v>0.70932779372955901</c:v>
                </c:pt>
                <c:pt idx="28">
                  <c:v>0.71607886571788582</c:v>
                </c:pt>
                <c:pt idx="29">
                  <c:v>0.72235918338770722</c:v>
                </c:pt>
                <c:pt idx="30">
                  <c:v>0.72820378497296157</c:v>
                </c:pt>
                <c:pt idx="31">
                  <c:v>0.73364464969167154</c:v>
                </c:pt>
                <c:pt idx="32">
                  <c:v>0.73871100859102867</c:v>
                </c:pt>
                <c:pt idx="33">
                  <c:v>0.74342961934279905</c:v>
                </c:pt>
                <c:pt idx="34">
                  <c:v>0.74782500967716192</c:v>
                </c:pt>
                <c:pt idx="35">
                  <c:v>0.75191969346915388</c:v>
                </c:pt>
                <c:pt idx="36">
                  <c:v>0.75573436292381402</c:v>
                </c:pt>
                <c:pt idx="37">
                  <c:v>0.75928805982591907</c:v>
                </c:pt>
                <c:pt idx="38">
                  <c:v>0.76259832841313002</c:v>
                </c:pt>
                <c:pt idx="39">
                  <c:v>0.76568135208540111</c:v>
                </c:pt>
                <c:pt idx="40">
                  <c:v>0.76855207586867513</c:v>
                </c:pt>
                <c:pt idx="41">
                  <c:v>0.77122431629903709</c:v>
                </c:pt>
                <c:pt idx="42">
                  <c:v>0.77371086017781532</c:v>
                </c:pt>
                <c:pt idx="43">
                  <c:v>0.7760235534629899</c:v>
                </c:pt>
                <c:pt idx="44">
                  <c:v>0.77817338140299464</c:v>
                </c:pt>
                <c:pt idx="45">
                  <c:v>0.78017054088166771</c:v>
                </c:pt>
                <c:pt idx="46">
                  <c:v>0.78202450582443783</c:v>
                </c:pt>
                <c:pt idx="47">
                  <c:v>0.78374408641308446</c:v>
                </c:pt>
                <c:pt idx="48">
                  <c:v>0.78533748276725612</c:v>
                </c:pt>
                <c:pt idx="49">
                  <c:v>0.78681233367342396</c:v>
                </c:pt>
                <c:pt idx="50">
                  <c:v>0.78817576087444019</c:v>
                </c:pt>
                <c:pt idx="51">
                  <c:v>0.78943440937395937</c:v>
                </c:pt>
                <c:pt idx="52">
                  <c:v>0.79059448415847411</c:v>
                </c:pt>
                <c:pt idx="53">
                  <c:v>0.79166178369461504</c:v>
                </c:pt>
                <c:pt idx="54">
                  <c:v>0.79264173051979447</c:v>
                </c:pt>
                <c:pt idx="55">
                  <c:v>0.79353939920949856</c:v>
                </c:pt>
                <c:pt idx="56">
                  <c:v>0.794359541973929</c:v>
                </c:pt>
                <c:pt idx="57">
                  <c:v>0.79510661210971345</c:v>
                </c:pt>
                <c:pt idx="58">
                  <c:v>0.7957847855085779</c:v>
                </c:pt>
                <c:pt idx="59">
                  <c:v>0.79639798040380905</c:v>
                </c:pt>
                <c:pt idx="60">
                  <c:v>0.79694987551667773</c:v>
                </c:pt>
                <c:pt idx="61">
                  <c:v>0.79744392674844744</c:v>
                </c:pt>
                <c:pt idx="62">
                  <c:v>0.79788338254889501</c:v>
                </c:pt>
                <c:pt idx="63">
                  <c:v>0.79827129807920794</c:v>
                </c:pt>
                <c:pt idx="64">
                  <c:v>0.79861054827547406</c:v>
                </c:pt>
                <c:pt idx="65">
                  <c:v>0.7989038399086158</c:v>
                </c:pt>
                <c:pt idx="66">
                  <c:v>0.79915372272734042</c:v>
                </c:pt>
                <c:pt idx="67">
                  <c:v>0.79936259976240531</c:v>
                </c:pt>
                <c:pt idx="68">
                  <c:v>0.79953273686307824</c:v>
                </c:pt>
                <c:pt idx="69">
                  <c:v>0.79966627153003489</c:v>
                </c:pt>
                <c:pt idx="70">
                  <c:v>0.79976522110296455</c:v>
                </c:pt>
                <c:pt idx="71">
                  <c:v>0.7998314903558138</c:v>
                </c:pt>
                <c:pt idx="72">
                  <c:v>0.79986687854777527</c:v>
                </c:pt>
                <c:pt idx="73">
                  <c:v>0.79987419482412636</c:v>
                </c:pt>
                <c:pt idx="74">
                  <c:v>0.79997655387408417</c:v>
                </c:pt>
                <c:pt idx="75">
                  <c:v>0.81467187617672665</c:v>
                </c:pt>
                <c:pt idx="76">
                  <c:v>0.82829679782278365</c:v>
                </c:pt>
                <c:pt idx="77">
                  <c:v>0.84093842001713848</c:v>
                </c:pt>
                <c:pt idx="78">
                  <c:v>0.85267545508691422</c:v>
                </c:pt>
                <c:pt idx="79">
                  <c:v>0.86357916803263268</c:v>
                </c:pt>
                <c:pt idx="80">
                  <c:v>0.87371419754932778</c:v>
                </c:pt>
                <c:pt idx="81">
                  <c:v>0.88313927379894985</c:v>
                </c:pt>
                <c:pt idx="82">
                  <c:v>0.89190784748014207</c:v>
                </c:pt>
                <c:pt idx="83">
                  <c:v>0.9000686424786023</c:v>
                </c:pt>
                <c:pt idx="84">
                  <c:v>0.90766614250259836</c:v>
                </c:pt>
                <c:pt idx="85">
                  <c:v>0.9147410205432317</c:v>
                </c:pt>
                <c:pt idx="86">
                  <c:v>0.92133051869112181</c:v>
                </c:pt>
                <c:pt idx="87">
                  <c:v>0.92746878474463601</c:v>
                </c:pt>
                <c:pt idx="88">
                  <c:v>0.93318717112265359</c:v>
                </c:pt>
                <c:pt idx="89">
                  <c:v>0.93851450081711707</c:v>
                </c:pt>
                <c:pt idx="90">
                  <c:v>0.94347730446280076</c:v>
                </c:pt>
                <c:pt idx="91">
                  <c:v>0.94810003204381088</c:v>
                </c:pt>
                <c:pt idx="92">
                  <c:v>0.95240524228187862</c:v>
                </c:pt>
                <c:pt idx="93">
                  <c:v>0.9564137723470133</c:v>
                </c:pt>
                <c:pt idx="94">
                  <c:v>0.96014489018534432</c:v>
                </c:pt>
                <c:pt idx="95">
                  <c:v>0.96361643146278253</c:v>
                </c:pt>
                <c:pt idx="96">
                  <c:v>0.9668449228687549</c:v>
                </c:pt>
                <c:pt idx="97">
                  <c:v>0.96984569330532255</c:v>
                </c:pt>
                <c:pt idx="98">
                  <c:v>0.972632974298132</c:v>
                </c:pt>
                <c:pt idx="99">
                  <c:v>0.97521999080238198</c:v>
                </c:pt>
                <c:pt idx="100">
                  <c:v>0.97761904343556771</c:v>
                </c:pt>
                <c:pt idx="101">
                  <c:v>0.97984158304599722</c:v>
                </c:pt>
                <c:pt idx="102">
                  <c:v>0.98189827841931809</c:v>
                </c:pt>
                <c:pt idx="103">
                  <c:v>0.98379907783226084</c:v>
                </c:pt>
                <c:pt idx="104">
                  <c:v>0.98555326508159491</c:v>
                </c:pt>
                <c:pt idx="105">
                  <c:v>0.98716951054526958</c:v>
                </c:pt>
                <c:pt idx="106">
                  <c:v>0.98865591777048656</c:v>
                </c:pt>
                <c:pt idx="107">
                  <c:v>0.9900200660288524</c:v>
                </c:pt>
                <c:pt idx="108">
                  <c:v>0.99126904923074866</c:v>
                </c:pt>
                <c:pt idx="109">
                  <c:v>0.99240951154880375</c:v>
                </c:pt>
                <c:pt idx="110">
                  <c:v>0.99344768006307327</c:v>
                </c:pt>
                <c:pt idx="111">
                  <c:v>0.99438939470761967</c:v>
                </c:pt>
                <c:pt idx="112">
                  <c:v>0.99524013576906489</c:v>
                </c:pt>
                <c:pt idx="113">
                  <c:v>0.99600504916189325</c:v>
                </c:pt>
                <c:pt idx="114">
                  <c:v>0.99668896968239895</c:v>
                </c:pt>
                <c:pt idx="115">
                  <c:v>0.9972964424228481</c:v>
                </c:pt>
                <c:pt idx="116">
                  <c:v>0.99783174250933371</c:v>
                </c:pt>
                <c:pt idx="117">
                  <c:v>0.99829889331070243</c:v>
                </c:pt>
                <c:pt idx="118">
                  <c:v>0.99870168325155773</c:v>
                </c:pt>
                <c:pt idx="119">
                  <c:v>0.9990436813495156</c:v>
                </c:pt>
                <c:pt idx="120">
                  <c:v>0.99932825158541783</c:v>
                </c:pt>
                <c:pt idx="121">
                  <c:v>0.99955856620492833</c:v>
                </c:pt>
                <c:pt idx="122">
                  <c:v>0.99973761804074379</c:v>
                </c:pt>
                <c:pt idx="123">
                  <c:v>0.99986823193637331</c:v>
                </c:pt>
                <c:pt idx="124">
                  <c:v>0.99995307534503131</c:v>
                </c:pt>
                <c:pt idx="125">
                  <c:v>0.99999466817050509</c:v>
                </c:pt>
                <c:pt idx="126">
                  <c:v>1</c:v>
                </c:pt>
              </c:numCache>
            </c:numRef>
          </c:xVal>
          <c:yVal>
            <c:numRef>
              <c:f>'Graph Data'!$AB$5:$AB$131</c:f>
              <c:numCache>
                <c:formatCode>General</c:formatCode>
                <c:ptCount val="127"/>
                <c:pt idx="0">
                  <c:v>0.27282128954713225</c:v>
                </c:pt>
                <c:pt idx="1">
                  <c:v>0.28282128954713226</c:v>
                </c:pt>
                <c:pt idx="2">
                  <c:v>0.29282128954713227</c:v>
                </c:pt>
                <c:pt idx="3">
                  <c:v>0.30282128954713228</c:v>
                </c:pt>
                <c:pt idx="4">
                  <c:v>0.31282128954713229</c:v>
                </c:pt>
                <c:pt idx="5">
                  <c:v>0.3228212895471323</c:v>
                </c:pt>
                <c:pt idx="6">
                  <c:v>0.3328212895471323</c:v>
                </c:pt>
                <c:pt idx="7">
                  <c:v>0.34282128954713231</c:v>
                </c:pt>
                <c:pt idx="8">
                  <c:v>0.35282128954713232</c:v>
                </c:pt>
                <c:pt idx="9">
                  <c:v>0.36282128954713233</c:v>
                </c:pt>
                <c:pt idx="10">
                  <c:v>0.37282128954713234</c:v>
                </c:pt>
                <c:pt idx="11">
                  <c:v>0.38282128954713235</c:v>
                </c:pt>
                <c:pt idx="12">
                  <c:v>0.39282128954713236</c:v>
                </c:pt>
                <c:pt idx="13">
                  <c:v>0.40282128954713237</c:v>
                </c:pt>
                <c:pt idx="14">
                  <c:v>0.41282128954713238</c:v>
                </c:pt>
                <c:pt idx="15">
                  <c:v>0.42282128954713238</c:v>
                </c:pt>
                <c:pt idx="16">
                  <c:v>0.43282128954713239</c:v>
                </c:pt>
                <c:pt idx="17">
                  <c:v>0.4428212895471324</c:v>
                </c:pt>
                <c:pt idx="18">
                  <c:v>0.45282128954713241</c:v>
                </c:pt>
                <c:pt idx="19">
                  <c:v>0.46282128954713242</c:v>
                </c:pt>
                <c:pt idx="20">
                  <c:v>0.47282128954713243</c:v>
                </c:pt>
                <c:pt idx="21">
                  <c:v>0.48282128954713244</c:v>
                </c:pt>
                <c:pt idx="22">
                  <c:v>0.49282128954713245</c:v>
                </c:pt>
                <c:pt idx="23">
                  <c:v>0.50282128954713246</c:v>
                </c:pt>
                <c:pt idx="24">
                  <c:v>0.51282128954713246</c:v>
                </c:pt>
                <c:pt idx="25">
                  <c:v>0.52282128954713247</c:v>
                </c:pt>
                <c:pt idx="26">
                  <c:v>0.53282128954713248</c:v>
                </c:pt>
                <c:pt idx="27">
                  <c:v>0.54282128954713249</c:v>
                </c:pt>
                <c:pt idx="28">
                  <c:v>0.5528212895471325</c:v>
                </c:pt>
                <c:pt idx="29">
                  <c:v>0.56282128954713251</c:v>
                </c:pt>
                <c:pt idx="30">
                  <c:v>0.57282128954713252</c:v>
                </c:pt>
                <c:pt idx="31">
                  <c:v>0.58282128954713253</c:v>
                </c:pt>
                <c:pt idx="32">
                  <c:v>0.59282128954713253</c:v>
                </c:pt>
                <c:pt idx="33">
                  <c:v>0.60282128954713254</c:v>
                </c:pt>
                <c:pt idx="34">
                  <c:v>0.61282128954713255</c:v>
                </c:pt>
                <c:pt idx="35">
                  <c:v>0.62282128954713256</c:v>
                </c:pt>
                <c:pt idx="36">
                  <c:v>0.63282128954713257</c:v>
                </c:pt>
                <c:pt idx="37">
                  <c:v>0.64282128954713258</c:v>
                </c:pt>
                <c:pt idx="38">
                  <c:v>0.65282128954713259</c:v>
                </c:pt>
                <c:pt idx="39">
                  <c:v>0.6628212895471326</c:v>
                </c:pt>
                <c:pt idx="40">
                  <c:v>0.67282128954713261</c:v>
                </c:pt>
                <c:pt idx="41">
                  <c:v>0.68282128954713261</c:v>
                </c:pt>
                <c:pt idx="42">
                  <c:v>0.69282128954713262</c:v>
                </c:pt>
                <c:pt idx="43">
                  <c:v>0.70282128954713263</c:v>
                </c:pt>
                <c:pt idx="44">
                  <c:v>0.71282128954713264</c:v>
                </c:pt>
                <c:pt idx="45">
                  <c:v>0.72282128954713265</c:v>
                </c:pt>
                <c:pt idx="46">
                  <c:v>0.73282128954713266</c:v>
                </c:pt>
                <c:pt idx="47">
                  <c:v>0.74282128954713267</c:v>
                </c:pt>
                <c:pt idx="48">
                  <c:v>0.75282128954713268</c:v>
                </c:pt>
                <c:pt idx="49">
                  <c:v>0.76282128954713269</c:v>
                </c:pt>
                <c:pt idx="50">
                  <c:v>0.77282128954713269</c:v>
                </c:pt>
                <c:pt idx="51">
                  <c:v>0.7828212895471327</c:v>
                </c:pt>
                <c:pt idx="52">
                  <c:v>0.79282128954713271</c:v>
                </c:pt>
                <c:pt idx="53">
                  <c:v>0.80282128954713272</c:v>
                </c:pt>
                <c:pt idx="54">
                  <c:v>0.81282128954713273</c:v>
                </c:pt>
                <c:pt idx="55">
                  <c:v>0.82282128954713274</c:v>
                </c:pt>
                <c:pt idx="56">
                  <c:v>0.83282128954713275</c:v>
                </c:pt>
                <c:pt idx="57">
                  <c:v>0.84282128954713276</c:v>
                </c:pt>
                <c:pt idx="58">
                  <c:v>0.85282128954713277</c:v>
                </c:pt>
                <c:pt idx="59">
                  <c:v>0.86282128954713277</c:v>
                </c:pt>
                <c:pt idx="60">
                  <c:v>0.87282128954713278</c:v>
                </c:pt>
                <c:pt idx="61">
                  <c:v>0.88282128954713279</c:v>
                </c:pt>
                <c:pt idx="62">
                  <c:v>0.8928212895471328</c:v>
                </c:pt>
                <c:pt idx="63">
                  <c:v>0.90282128954713281</c:v>
                </c:pt>
                <c:pt idx="64">
                  <c:v>0.91282128954713282</c:v>
                </c:pt>
                <c:pt idx="65">
                  <c:v>0.92282128954713283</c:v>
                </c:pt>
                <c:pt idx="66">
                  <c:v>0.93282128954713284</c:v>
                </c:pt>
                <c:pt idx="67">
                  <c:v>0.94282128954713285</c:v>
                </c:pt>
                <c:pt idx="68">
                  <c:v>0.95282128954713285</c:v>
                </c:pt>
                <c:pt idx="69">
                  <c:v>0.96282128954713286</c:v>
                </c:pt>
                <c:pt idx="70">
                  <c:v>0.97282128954713287</c:v>
                </c:pt>
                <c:pt idx="71">
                  <c:v>0.98282128954713288</c:v>
                </c:pt>
                <c:pt idx="72">
                  <c:v>0.99282128954713289</c:v>
                </c:pt>
                <c:pt idx="73">
                  <c:v>1</c:v>
                </c:pt>
                <c:pt idx="74">
                  <c:v>0.48484131654975843</c:v>
                </c:pt>
                <c:pt idx="75">
                  <c:v>0.49484131654975844</c:v>
                </c:pt>
                <c:pt idx="76">
                  <c:v>0.50484131654975839</c:v>
                </c:pt>
                <c:pt idx="77">
                  <c:v>0.5148413165497584</c:v>
                </c:pt>
                <c:pt idx="78">
                  <c:v>0.52484131654975841</c:v>
                </c:pt>
                <c:pt idx="79">
                  <c:v>0.53484131654975842</c:v>
                </c:pt>
                <c:pt idx="80">
                  <c:v>0.54484131654975843</c:v>
                </c:pt>
                <c:pt idx="81">
                  <c:v>0.55484131654975843</c:v>
                </c:pt>
                <c:pt idx="82">
                  <c:v>0.56484131654975844</c:v>
                </c:pt>
                <c:pt idx="83">
                  <c:v>0.57484131654975845</c:v>
                </c:pt>
                <c:pt idx="84">
                  <c:v>0.58484131654975846</c:v>
                </c:pt>
                <c:pt idx="85">
                  <c:v>0.59484131654975847</c:v>
                </c:pt>
                <c:pt idx="86">
                  <c:v>0.60484131654975848</c:v>
                </c:pt>
                <c:pt idx="87">
                  <c:v>0.61484131654975849</c:v>
                </c:pt>
                <c:pt idx="88">
                  <c:v>0.6248413165497585</c:v>
                </c:pt>
                <c:pt idx="89">
                  <c:v>0.63484131654975851</c:v>
                </c:pt>
                <c:pt idx="90">
                  <c:v>0.64484131654975851</c:v>
                </c:pt>
                <c:pt idx="91">
                  <c:v>0.65484131654975852</c:v>
                </c:pt>
                <c:pt idx="92">
                  <c:v>0.66484131654975853</c:v>
                </c:pt>
                <c:pt idx="93">
                  <c:v>0.67484131654975854</c:v>
                </c:pt>
                <c:pt idx="94">
                  <c:v>0.68484131654975855</c:v>
                </c:pt>
                <c:pt idx="95">
                  <c:v>0.69484131654975856</c:v>
                </c:pt>
                <c:pt idx="96">
                  <c:v>0.70484131654975857</c:v>
                </c:pt>
                <c:pt idx="97">
                  <c:v>0.71484131654975858</c:v>
                </c:pt>
                <c:pt idx="98">
                  <c:v>0.72484131654975859</c:v>
                </c:pt>
                <c:pt idx="99">
                  <c:v>0.73484131654975859</c:v>
                </c:pt>
                <c:pt idx="100">
                  <c:v>0.7448413165497586</c:v>
                </c:pt>
                <c:pt idx="101">
                  <c:v>0.75484131654975861</c:v>
                </c:pt>
                <c:pt idx="102">
                  <c:v>0.76484131654975862</c:v>
                </c:pt>
                <c:pt idx="103">
                  <c:v>0.77484131654975863</c:v>
                </c:pt>
                <c:pt idx="104">
                  <c:v>0.78484131654975864</c:v>
                </c:pt>
                <c:pt idx="105">
                  <c:v>0.79484131654975865</c:v>
                </c:pt>
                <c:pt idx="106">
                  <c:v>0.80484131654975866</c:v>
                </c:pt>
                <c:pt idx="107">
                  <c:v>0.81484131654975867</c:v>
                </c:pt>
                <c:pt idx="108">
                  <c:v>0.82484131654975867</c:v>
                </c:pt>
                <c:pt idx="109">
                  <c:v>0.83484131654975868</c:v>
                </c:pt>
                <c:pt idx="110">
                  <c:v>0.84484131654975869</c:v>
                </c:pt>
                <c:pt idx="111">
                  <c:v>0.8548413165497587</c:v>
                </c:pt>
                <c:pt idx="112">
                  <c:v>0.86484131654975871</c:v>
                </c:pt>
                <c:pt idx="113">
                  <c:v>0.87484131654975872</c:v>
                </c:pt>
                <c:pt idx="114">
                  <c:v>0.88484131654975873</c:v>
                </c:pt>
                <c:pt idx="115">
                  <c:v>0.89484131654975874</c:v>
                </c:pt>
                <c:pt idx="116">
                  <c:v>0.90484131654975875</c:v>
                </c:pt>
                <c:pt idx="117">
                  <c:v>0.91484131654975875</c:v>
                </c:pt>
                <c:pt idx="118">
                  <c:v>0.92484131654975876</c:v>
                </c:pt>
                <c:pt idx="119">
                  <c:v>0.93484131654975877</c:v>
                </c:pt>
                <c:pt idx="120">
                  <c:v>0.94484131654975878</c:v>
                </c:pt>
                <c:pt idx="121">
                  <c:v>0.95484131654975879</c:v>
                </c:pt>
                <c:pt idx="122">
                  <c:v>0.9648413165497588</c:v>
                </c:pt>
                <c:pt idx="123">
                  <c:v>0.97484131654975881</c:v>
                </c:pt>
                <c:pt idx="124">
                  <c:v>0.98484131654975882</c:v>
                </c:pt>
                <c:pt idx="125">
                  <c:v>0.99484131654975883</c:v>
                </c:pt>
                <c:pt idx="12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4D-4226-8CD6-2070D0509987}"/>
            </c:ext>
          </c:extLst>
        </c:ser>
        <c:ser>
          <c:idx val="1"/>
          <c:order val="1"/>
          <c:tx>
            <c:strRef>
              <c:f>'Graph Data'!$AC$3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Data'!$AA$5:$AA$131</c:f>
              <c:numCache>
                <c:formatCode>General</c:formatCode>
                <c:ptCount val="127"/>
                <c:pt idx="0">
                  <c:v>0</c:v>
                </c:pt>
                <c:pt idx="1">
                  <c:v>7.1275523388556708E-2</c:v>
                </c:pt>
                <c:pt idx="2">
                  <c:v>0.13491042494554431</c:v>
                </c:pt>
                <c:pt idx="3">
                  <c:v>0.19191340952193084</c:v>
                </c:pt>
                <c:pt idx="4">
                  <c:v>0.24313356181642837</c:v>
                </c:pt>
                <c:pt idx="5">
                  <c:v>0.28928963773284916</c:v>
                </c:pt>
                <c:pt idx="6">
                  <c:v>0.33099327890465191</c:v>
                </c:pt>
                <c:pt idx="7">
                  <c:v>0.36876754875003709</c:v>
                </c:pt>
                <c:pt idx="8">
                  <c:v>0.40306183668270862</c:v>
                </c:pt>
                <c:pt idx="9">
                  <c:v>0.4342639209717073</c:v>
                </c:pt>
                <c:pt idx="10">
                  <c:v>0.46270979239465454</c:v>
                </c:pt>
                <c:pt idx="11">
                  <c:v>0.48869170104307652</c:v>
                </c:pt>
                <c:pt idx="12">
                  <c:v>0.51246478399159001</c:v>
                </c:pt>
                <c:pt idx="13">
                  <c:v>0.53425255255857051</c:v>
                </c:pt>
                <c:pt idx="14">
                  <c:v>0.55425145780904805</c:v>
                </c:pt>
                <c:pt idx="15">
                  <c:v>0.57263470691987706</c:v>
                </c:pt>
                <c:pt idx="16">
                  <c:v>0.58955546751363841</c:v>
                </c:pt>
                <c:pt idx="17">
                  <c:v>0.60514956948770926</c:v>
                </c:pt>
                <c:pt idx="18">
                  <c:v>0.61953779231202799</c:v>
                </c:pt>
                <c:pt idx="19">
                  <c:v>0.63282780882582934</c:v>
                </c:pt>
                <c:pt idx="20">
                  <c:v>0.64511584316857662</c:v>
                </c:pt>
                <c:pt idx="21">
                  <c:v>0.6564880898330836</c:v>
                </c:pt>
                <c:pt idx="22">
                  <c:v>0.66702193232205442</c:v>
                </c:pt>
                <c:pt idx="23">
                  <c:v>0.67678699305906764</c:v>
                </c:pt>
                <c:pt idx="24">
                  <c:v>0.6858460406951008</c:v>
                </c:pt>
                <c:pt idx="25">
                  <c:v>0.69425577648671166</c:v>
                </c:pt>
                <c:pt idx="26">
                  <c:v>0.70206751778810739</c:v>
                </c:pt>
                <c:pt idx="27">
                  <c:v>0.70932779372955901</c:v>
                </c:pt>
                <c:pt idx="28">
                  <c:v>0.71607886571788582</c:v>
                </c:pt>
                <c:pt idx="29">
                  <c:v>0.72235918338770722</c:v>
                </c:pt>
                <c:pt idx="30">
                  <c:v>0.72820378497296157</c:v>
                </c:pt>
                <c:pt idx="31">
                  <c:v>0.73364464969167154</c:v>
                </c:pt>
                <c:pt idx="32">
                  <c:v>0.73871100859102867</c:v>
                </c:pt>
                <c:pt idx="33">
                  <c:v>0.74342961934279905</c:v>
                </c:pt>
                <c:pt idx="34">
                  <c:v>0.74782500967716192</c:v>
                </c:pt>
                <c:pt idx="35">
                  <c:v>0.75191969346915388</c:v>
                </c:pt>
                <c:pt idx="36">
                  <c:v>0.75573436292381402</c:v>
                </c:pt>
                <c:pt idx="37">
                  <c:v>0.75928805982591907</c:v>
                </c:pt>
                <c:pt idx="38">
                  <c:v>0.76259832841313002</c:v>
                </c:pt>
                <c:pt idx="39">
                  <c:v>0.76568135208540111</c:v>
                </c:pt>
                <c:pt idx="40">
                  <c:v>0.76855207586867513</c:v>
                </c:pt>
                <c:pt idx="41">
                  <c:v>0.77122431629903709</c:v>
                </c:pt>
                <c:pt idx="42">
                  <c:v>0.77371086017781532</c:v>
                </c:pt>
                <c:pt idx="43">
                  <c:v>0.7760235534629899</c:v>
                </c:pt>
                <c:pt idx="44">
                  <c:v>0.77817338140299464</c:v>
                </c:pt>
                <c:pt idx="45">
                  <c:v>0.78017054088166771</c:v>
                </c:pt>
                <c:pt idx="46">
                  <c:v>0.78202450582443783</c:v>
                </c:pt>
                <c:pt idx="47">
                  <c:v>0.78374408641308446</c:v>
                </c:pt>
                <c:pt idx="48">
                  <c:v>0.78533748276725612</c:v>
                </c:pt>
                <c:pt idx="49">
                  <c:v>0.78681233367342396</c:v>
                </c:pt>
                <c:pt idx="50">
                  <c:v>0.78817576087444019</c:v>
                </c:pt>
                <c:pt idx="51">
                  <c:v>0.78943440937395937</c:v>
                </c:pt>
                <c:pt idx="52">
                  <c:v>0.79059448415847411</c:v>
                </c:pt>
                <c:pt idx="53">
                  <c:v>0.79166178369461504</c:v>
                </c:pt>
                <c:pt idx="54">
                  <c:v>0.79264173051979447</c:v>
                </c:pt>
                <c:pt idx="55">
                  <c:v>0.79353939920949856</c:v>
                </c:pt>
                <c:pt idx="56">
                  <c:v>0.794359541973929</c:v>
                </c:pt>
                <c:pt idx="57">
                  <c:v>0.79510661210971345</c:v>
                </c:pt>
                <c:pt idx="58">
                  <c:v>0.7957847855085779</c:v>
                </c:pt>
                <c:pt idx="59">
                  <c:v>0.79639798040380905</c:v>
                </c:pt>
                <c:pt idx="60">
                  <c:v>0.79694987551667773</c:v>
                </c:pt>
                <c:pt idx="61">
                  <c:v>0.79744392674844744</c:v>
                </c:pt>
                <c:pt idx="62">
                  <c:v>0.79788338254889501</c:v>
                </c:pt>
                <c:pt idx="63">
                  <c:v>0.79827129807920794</c:v>
                </c:pt>
                <c:pt idx="64">
                  <c:v>0.79861054827547406</c:v>
                </c:pt>
                <c:pt idx="65">
                  <c:v>0.7989038399086158</c:v>
                </c:pt>
                <c:pt idx="66">
                  <c:v>0.79915372272734042</c:v>
                </c:pt>
                <c:pt idx="67">
                  <c:v>0.79936259976240531</c:v>
                </c:pt>
                <c:pt idx="68">
                  <c:v>0.79953273686307824</c:v>
                </c:pt>
                <c:pt idx="69">
                  <c:v>0.79966627153003489</c:v>
                </c:pt>
                <c:pt idx="70">
                  <c:v>0.79976522110296455</c:v>
                </c:pt>
                <c:pt idx="71">
                  <c:v>0.7998314903558138</c:v>
                </c:pt>
                <c:pt idx="72">
                  <c:v>0.79986687854777527</c:v>
                </c:pt>
                <c:pt idx="73">
                  <c:v>0.79987419482412636</c:v>
                </c:pt>
                <c:pt idx="74">
                  <c:v>0.79997655387408417</c:v>
                </c:pt>
                <c:pt idx="75">
                  <c:v>0.81467187617672665</c:v>
                </c:pt>
                <c:pt idx="76">
                  <c:v>0.82829679782278365</c:v>
                </c:pt>
                <c:pt idx="77">
                  <c:v>0.84093842001713848</c:v>
                </c:pt>
                <c:pt idx="78">
                  <c:v>0.85267545508691422</c:v>
                </c:pt>
                <c:pt idx="79">
                  <c:v>0.86357916803263268</c:v>
                </c:pt>
                <c:pt idx="80">
                  <c:v>0.87371419754932778</c:v>
                </c:pt>
                <c:pt idx="81">
                  <c:v>0.88313927379894985</c:v>
                </c:pt>
                <c:pt idx="82">
                  <c:v>0.89190784748014207</c:v>
                </c:pt>
                <c:pt idx="83">
                  <c:v>0.9000686424786023</c:v>
                </c:pt>
                <c:pt idx="84">
                  <c:v>0.90766614250259836</c:v>
                </c:pt>
                <c:pt idx="85">
                  <c:v>0.9147410205432317</c:v>
                </c:pt>
                <c:pt idx="86">
                  <c:v>0.92133051869112181</c:v>
                </c:pt>
                <c:pt idx="87">
                  <c:v>0.92746878474463601</c:v>
                </c:pt>
                <c:pt idx="88">
                  <c:v>0.93318717112265359</c:v>
                </c:pt>
                <c:pt idx="89">
                  <c:v>0.93851450081711707</c:v>
                </c:pt>
                <c:pt idx="90">
                  <c:v>0.94347730446280076</c:v>
                </c:pt>
                <c:pt idx="91">
                  <c:v>0.94810003204381088</c:v>
                </c:pt>
                <c:pt idx="92">
                  <c:v>0.95240524228187862</c:v>
                </c:pt>
                <c:pt idx="93">
                  <c:v>0.9564137723470133</c:v>
                </c:pt>
                <c:pt idx="94">
                  <c:v>0.96014489018534432</c:v>
                </c:pt>
                <c:pt idx="95">
                  <c:v>0.96361643146278253</c:v>
                </c:pt>
                <c:pt idx="96">
                  <c:v>0.9668449228687549</c:v>
                </c:pt>
                <c:pt idx="97">
                  <c:v>0.96984569330532255</c:v>
                </c:pt>
                <c:pt idx="98">
                  <c:v>0.972632974298132</c:v>
                </c:pt>
                <c:pt idx="99">
                  <c:v>0.97521999080238198</c:v>
                </c:pt>
                <c:pt idx="100">
                  <c:v>0.97761904343556771</c:v>
                </c:pt>
                <c:pt idx="101">
                  <c:v>0.97984158304599722</c:v>
                </c:pt>
                <c:pt idx="102">
                  <c:v>0.98189827841931809</c:v>
                </c:pt>
                <c:pt idx="103">
                  <c:v>0.98379907783226084</c:v>
                </c:pt>
                <c:pt idx="104">
                  <c:v>0.98555326508159491</c:v>
                </c:pt>
                <c:pt idx="105">
                  <c:v>0.98716951054526958</c:v>
                </c:pt>
                <c:pt idx="106">
                  <c:v>0.98865591777048656</c:v>
                </c:pt>
                <c:pt idx="107">
                  <c:v>0.9900200660288524</c:v>
                </c:pt>
                <c:pt idx="108">
                  <c:v>0.99126904923074866</c:v>
                </c:pt>
                <c:pt idx="109">
                  <c:v>0.99240951154880375</c:v>
                </c:pt>
                <c:pt idx="110">
                  <c:v>0.99344768006307327</c:v>
                </c:pt>
                <c:pt idx="111">
                  <c:v>0.99438939470761967</c:v>
                </c:pt>
                <c:pt idx="112">
                  <c:v>0.99524013576906489</c:v>
                </c:pt>
                <c:pt idx="113">
                  <c:v>0.99600504916189325</c:v>
                </c:pt>
                <c:pt idx="114">
                  <c:v>0.99668896968239895</c:v>
                </c:pt>
                <c:pt idx="115">
                  <c:v>0.9972964424228481</c:v>
                </c:pt>
                <c:pt idx="116">
                  <c:v>0.99783174250933371</c:v>
                </c:pt>
                <c:pt idx="117">
                  <c:v>0.99829889331070243</c:v>
                </c:pt>
                <c:pt idx="118">
                  <c:v>0.99870168325155773</c:v>
                </c:pt>
                <c:pt idx="119">
                  <c:v>0.9990436813495156</c:v>
                </c:pt>
                <c:pt idx="120">
                  <c:v>0.99932825158541783</c:v>
                </c:pt>
                <c:pt idx="121">
                  <c:v>0.99955856620492833</c:v>
                </c:pt>
                <c:pt idx="122">
                  <c:v>0.99973761804074379</c:v>
                </c:pt>
                <c:pt idx="123">
                  <c:v>0.99986823193637331</c:v>
                </c:pt>
                <c:pt idx="124">
                  <c:v>0.99995307534503131</c:v>
                </c:pt>
                <c:pt idx="125">
                  <c:v>0.99999466817050509</c:v>
                </c:pt>
                <c:pt idx="126">
                  <c:v>1</c:v>
                </c:pt>
              </c:numCache>
            </c:numRef>
          </c:xVal>
          <c:yVal>
            <c:numRef>
              <c:f>'Graph Data'!$AC$5:$AC$131</c:f>
              <c:numCache>
                <c:formatCode>General</c:formatCode>
                <c:ptCount val="127"/>
                <c:pt idx="0">
                  <c:v>1</c:v>
                </c:pt>
                <c:pt idx="1">
                  <c:v>0.96411428200096272</c:v>
                </c:pt>
                <c:pt idx="2">
                  <c:v>0.9306621316009539</c:v>
                </c:pt>
                <c:pt idx="3">
                  <c:v>0.8994025471184417</c:v>
                </c:pt>
                <c:pt idx="4">
                  <c:v>0.87012534593397095</c:v>
                </c:pt>
                <c:pt idx="5">
                  <c:v>0.84264639105700956</c:v>
                </c:pt>
                <c:pt idx="6">
                  <c:v>0.81680367823176747</c:v>
                </c:pt>
                <c:pt idx="7">
                  <c:v>0.79245410787027704</c:v>
                </c:pt>
                <c:pt idx="8">
                  <c:v>0.76947080594253903</c:v>
                </c:pt>
                <c:pt idx="9">
                  <c:v>0.74774088791213977</c:v>
                </c:pt>
                <c:pt idx="10">
                  <c:v>0.72716358253224955</c:v>
                </c:pt>
                <c:pt idx="11">
                  <c:v>0.70764864970050556</c:v>
                </c:pt>
                <c:pt idx="12">
                  <c:v>0.68911503997207946</c:v>
                </c:pt>
                <c:pt idx="13">
                  <c:v>0.67148975373697539</c:v>
                </c:pt>
                <c:pt idx="14">
                  <c:v>0.65470686620553631</c:v>
                </c:pt>
                <c:pt idx="15">
                  <c:v>0.63870669075188824</c:v>
                </c:pt>
                <c:pt idx="16">
                  <c:v>0.6234350582387731</c:v>
                </c:pt>
                <c:pt idx="17">
                  <c:v>0.60884269398977964</c:v>
                </c:pt>
                <c:pt idx="18">
                  <c:v>0.59488467731403727</c:v>
                </c:pt>
                <c:pt idx="19">
                  <c:v>0.58151997109765152</c:v>
                </c:pt>
                <c:pt idx="20">
                  <c:v>0.56871101108869748</c:v>
                </c:pt>
                <c:pt idx="21">
                  <c:v>0.55642334622135869</c:v>
                </c:pt>
                <c:pt idx="22">
                  <c:v>0.54462532272967035</c:v>
                </c:pt>
                <c:pt idx="23">
                  <c:v>0.53328780595474123</c:v>
                </c:pt>
                <c:pt idx="24">
                  <c:v>0.5223839347003344</c:v>
                </c:pt>
                <c:pt idx="25">
                  <c:v>0.51188890377895013</c:v>
                </c:pt>
                <c:pt idx="26">
                  <c:v>0.50177977104489091</c:v>
                </c:pt>
                <c:pt idx="27">
                  <c:v>0.49203528575657551</c:v>
                </c:pt>
                <c:pt idx="28">
                  <c:v>0.48263573556735456</c:v>
                </c:pt>
                <c:pt idx="29">
                  <c:v>0.47356280982795473</c:v>
                </c:pt>
                <c:pt idx="30">
                  <c:v>0.46479947720725473</c:v>
                </c:pt>
                <c:pt idx="31">
                  <c:v>0.45632987591170526</c:v>
                </c:pt>
                <c:pt idx="32">
                  <c:v>0.44813921501576937</c:v>
                </c:pt>
                <c:pt idx="33">
                  <c:v>0.44021368561318164</c:v>
                </c:pt>
                <c:pt idx="34">
                  <c:v>0.43254038066725553</c:v>
                </c:pt>
                <c:pt idx="35">
                  <c:v>0.42510722258255135</c:v>
                </c:pt>
                <c:pt idx="36">
                  <c:v>0.41790289764381833</c:v>
                </c:pt>
                <c:pt idx="37">
                  <c:v>0.41091679657441532</c:v>
                </c:pt>
                <c:pt idx="38">
                  <c:v>0.40413896055805104</c:v>
                </c:pt>
                <c:pt idx="39">
                  <c:v>0.39756003214688351</c:v>
                </c:pt>
                <c:pt idx="40">
                  <c:v>0.39117121054761561</c:v>
                </c:pt>
                <c:pt idx="41">
                  <c:v>0.38496421083679006</c:v>
                </c:pt>
                <c:pt idx="42">
                  <c:v>0.37893122670830093</c:v>
                </c:pt>
                <c:pt idx="43">
                  <c:v>0.373064896401333</c:v>
                </c:pt>
                <c:pt idx="44">
                  <c:v>0.3673582714964182</c:v>
                </c:pt>
                <c:pt idx="45">
                  <c:v>0.36180478830186197</c:v>
                </c:pt>
                <c:pt idx="46">
                  <c:v>0.35639824158311723</c:v>
                </c:pt>
                <c:pt idx="47">
                  <c:v>0.35113276041432617</c:v>
                </c:pt>
                <c:pt idx="48">
                  <c:v>0.34600278595471262</c:v>
                </c:pt>
                <c:pt idx="49">
                  <c:v>0.34100305097320266</c:v>
                </c:pt>
                <c:pt idx="50">
                  <c:v>0.33612856096292892</c:v>
                </c:pt>
                <c:pt idx="51">
                  <c:v>0.33137457670346382</c:v>
                </c:pt>
                <c:pt idx="52">
                  <c:v>0.3267365981429613</c:v>
                </c:pt>
                <c:pt idx="53">
                  <c:v>0.322210349485132</c:v>
                </c:pt>
                <c:pt idx="54">
                  <c:v>0.31779176537729575</c:v>
                </c:pt>
                <c:pt idx="55">
                  <c:v>0.31347697810584763</c:v>
                </c:pt>
                <c:pt idx="56">
                  <c:v>0.30926230571446794</c:v>
                </c:pt>
                <c:pt idx="57">
                  <c:v>0.30514424096844334</c:v>
                </c:pt>
                <c:pt idx="58">
                  <c:v>0.30111944109565542</c:v>
                </c:pt>
                <c:pt idx="59">
                  <c:v>0.29718471824123127</c:v>
                </c:pt>
                <c:pt idx="60">
                  <c:v>0.29333703057862481</c:v>
                </c:pt>
                <c:pt idx="61">
                  <c:v>0.28957347402508293</c:v>
                </c:pt>
                <c:pt idx="62">
                  <c:v>0.28589127451411556</c:v>
                </c:pt>
                <c:pt idx="63">
                  <c:v>0.2822877807817849</c:v>
                </c:pt>
                <c:pt idx="64">
                  <c:v>0.27876045762741547</c:v>
                </c:pt>
                <c:pt idx="65">
                  <c:v>0.2753068796127392</c:v>
                </c:pt>
                <c:pt idx="66">
                  <c:v>0.27192472516657928</c:v>
                </c:pt>
                <c:pt idx="67">
                  <c:v>0.26861177106496292</c:v>
                </c:pt>
                <c:pt idx="68">
                  <c:v>0.2653658872590865</c:v>
                </c:pt>
                <c:pt idx="69">
                  <c:v>0.26218503202584259</c:v>
                </c:pt>
                <c:pt idx="70">
                  <c:v>0.25906724741770026</c:v>
                </c:pt>
                <c:pt idx="71">
                  <c:v>0.25601065499061959</c:v>
                </c:pt>
                <c:pt idx="72">
                  <c:v>0.25301345179039703</c:v>
                </c:pt>
                <c:pt idx="73">
                  <c:v>0.25089749626675911</c:v>
                </c:pt>
                <c:pt idx="74">
                  <c:v>0.31162591398920469</c:v>
                </c:pt>
                <c:pt idx="75">
                  <c:v>0.30504312922826038</c:v>
                </c:pt>
                <c:pt idx="76">
                  <c:v>0.29871622844559287</c:v>
                </c:pt>
                <c:pt idx="77">
                  <c:v>0.29263034522118669</c:v>
                </c:pt>
                <c:pt idx="78">
                  <c:v>0.28677174666508715</c:v>
                </c:pt>
                <c:pt idx="79">
                  <c:v>0.28112772743126241</c:v>
                </c:pt>
                <c:pt idx="80">
                  <c:v>0.27568651540302241</c:v>
                </c:pt>
                <c:pt idx="81">
                  <c:v>0.27043718757749674</c:v>
                </c:pt>
                <c:pt idx="82">
                  <c:v>0.26536959488522516</c:v>
                </c:pt>
                <c:pt idx="83">
                  <c:v>0.26047429485682355</c:v>
                </c:pt>
                <c:pt idx="84">
                  <c:v>0.25574249119751008</c:v>
                </c:pt>
                <c:pt idx="85">
                  <c:v>0.25116597945659963</c:v>
                </c:pt>
                <c:pt idx="86">
                  <c:v>0.24673709808658628</c:v>
                </c:pt>
                <c:pt idx="87">
                  <c:v>0.24244868427821731</c:v>
                </c:pt>
                <c:pt idx="88">
                  <c:v>0.23829403403652122</c:v>
                </c:pt>
                <c:pt idx="89">
                  <c:v>0.23426686603017435</c:v>
                </c:pt>
                <c:pt idx="90">
                  <c:v>0.23036128880460563</c:v>
                </c:pt>
                <c:pt idx="91">
                  <c:v>0.22657177099927708</c:v>
                </c:pt>
                <c:pt idx="92">
                  <c:v>0.22289311425284211</c:v>
                </c:pt>
                <c:pt idx="93">
                  <c:v>0.21932042851738334</c:v>
                </c:pt>
                <c:pt idx="94">
                  <c:v>0.21584910953549502</c:v>
                </c:pt>
                <c:pt idx="95">
                  <c:v>0.21247481826232831</c:v>
                </c:pt>
                <c:pt idx="96">
                  <c:v>0.20919346203944458</c:v>
                </c:pt>
                <c:pt idx="97">
                  <c:v>0.20600117734894077</c:v>
                </c:pt>
                <c:pt idx="98">
                  <c:v>0.20289431399524122</c:v>
                </c:pt>
                <c:pt idx="99">
                  <c:v>0.19986942057856286</c:v>
                </c:pt>
                <c:pt idx="100">
                  <c:v>0.19692323113867083</c:v>
                </c:pt>
                <c:pt idx="101">
                  <c:v>0.19405265286040094</c:v>
                </c:pt>
                <c:pt idx="102">
                  <c:v>0.19125475474378051</c:v>
                </c:pt>
                <c:pt idx="103">
                  <c:v>0.18852675715160783</c:v>
                </c:pt>
                <c:pt idx="104">
                  <c:v>0.18586602215623577</c:v>
                </c:pt>
                <c:pt idx="105">
                  <c:v>0.18327004461517835</c:v>
                </c:pt>
                <c:pt idx="106">
                  <c:v>0.18073644391215693</c:v>
                </c:pt>
                <c:pt idx="107">
                  <c:v>0.17826295630642369</c:v>
                </c:pt>
                <c:pt idx="108">
                  <c:v>0.17584742783874385</c:v>
                </c:pt>
                <c:pt idx="109">
                  <c:v>0.1734878077473675</c:v>
                </c:pt>
                <c:pt idx="110">
                  <c:v>0.17118214235173512</c:v>
                </c:pt>
                <c:pt idx="111">
                  <c:v>0.16892856936562153</c:v>
                </c:pt>
                <c:pt idx="112">
                  <c:v>0.16672531260496065</c:v>
                </c:pt>
                <c:pt idx="113">
                  <c:v>0.16457067705877332</c:v>
                </c:pt>
                <c:pt idx="114">
                  <c:v>0.16246304429447622</c:v>
                </c:pt>
                <c:pt idx="115">
                  <c:v>0.16040086817141516</c:v>
                </c:pt>
                <c:pt idx="116">
                  <c:v>0.15838267083878138</c:v>
                </c:pt>
                <c:pt idx="117">
                  <c:v>0.15640703899615124</c:v>
                </c:pt>
                <c:pt idx="118">
                  <c:v>0.15447262039677387</c:v>
                </c:pt>
                <c:pt idx="119">
                  <c:v>0.15257812057543149</c:v>
                </c:pt>
                <c:pt idx="120">
                  <c:v>0.15072229978423529</c:v>
                </c:pt>
                <c:pt idx="121">
                  <c:v>0.14890397012111425</c:v>
                </c:pt>
                <c:pt idx="122">
                  <c:v>0.14712199283701732</c:v>
                </c:pt>
                <c:pt idx="123">
                  <c:v>0.14537527580899759</c:v>
                </c:pt>
                <c:pt idx="124">
                  <c:v>0.14366277116738743</c:v>
                </c:pt>
                <c:pt idx="125">
                  <c:v>0.14198347306622433</c:v>
                </c:pt>
                <c:pt idx="126">
                  <c:v>0.14112984165005202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4D-4226-8CD6-2070D0509987}"/>
            </c:ext>
          </c:extLst>
        </c:ser>
        <c:ser>
          <c:idx val="2"/>
          <c:order val="2"/>
          <c:tx>
            <c:strRef>
              <c:f>'Graph Data'!$AD$3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Data'!$AA$5:$AA$131</c:f>
              <c:numCache>
                <c:formatCode>General</c:formatCode>
                <c:ptCount val="127"/>
                <c:pt idx="0">
                  <c:v>0</c:v>
                </c:pt>
                <c:pt idx="1">
                  <c:v>7.1275523388556708E-2</c:v>
                </c:pt>
                <c:pt idx="2">
                  <c:v>0.13491042494554431</c:v>
                </c:pt>
                <c:pt idx="3">
                  <c:v>0.19191340952193084</c:v>
                </c:pt>
                <c:pt idx="4">
                  <c:v>0.24313356181642837</c:v>
                </c:pt>
                <c:pt idx="5">
                  <c:v>0.28928963773284916</c:v>
                </c:pt>
                <c:pt idx="6">
                  <c:v>0.33099327890465191</c:v>
                </c:pt>
                <c:pt idx="7">
                  <c:v>0.36876754875003709</c:v>
                </c:pt>
                <c:pt idx="8">
                  <c:v>0.40306183668270862</c:v>
                </c:pt>
                <c:pt idx="9">
                  <c:v>0.4342639209717073</c:v>
                </c:pt>
                <c:pt idx="10">
                  <c:v>0.46270979239465454</c:v>
                </c:pt>
                <c:pt idx="11">
                  <c:v>0.48869170104307652</c:v>
                </c:pt>
                <c:pt idx="12">
                  <c:v>0.51246478399159001</c:v>
                </c:pt>
                <c:pt idx="13">
                  <c:v>0.53425255255857051</c:v>
                </c:pt>
                <c:pt idx="14">
                  <c:v>0.55425145780904805</c:v>
                </c:pt>
                <c:pt idx="15">
                  <c:v>0.57263470691987706</c:v>
                </c:pt>
                <c:pt idx="16">
                  <c:v>0.58955546751363841</c:v>
                </c:pt>
                <c:pt idx="17">
                  <c:v>0.60514956948770926</c:v>
                </c:pt>
                <c:pt idx="18">
                  <c:v>0.61953779231202799</c:v>
                </c:pt>
                <c:pt idx="19">
                  <c:v>0.63282780882582934</c:v>
                </c:pt>
                <c:pt idx="20">
                  <c:v>0.64511584316857662</c:v>
                </c:pt>
                <c:pt idx="21">
                  <c:v>0.6564880898330836</c:v>
                </c:pt>
                <c:pt idx="22">
                  <c:v>0.66702193232205442</c:v>
                </c:pt>
                <c:pt idx="23">
                  <c:v>0.67678699305906764</c:v>
                </c:pt>
                <c:pt idx="24">
                  <c:v>0.6858460406951008</c:v>
                </c:pt>
                <c:pt idx="25">
                  <c:v>0.69425577648671166</c:v>
                </c:pt>
                <c:pt idx="26">
                  <c:v>0.70206751778810739</c:v>
                </c:pt>
                <c:pt idx="27">
                  <c:v>0.70932779372955901</c:v>
                </c:pt>
                <c:pt idx="28">
                  <c:v>0.71607886571788582</c:v>
                </c:pt>
                <c:pt idx="29">
                  <c:v>0.72235918338770722</c:v>
                </c:pt>
                <c:pt idx="30">
                  <c:v>0.72820378497296157</c:v>
                </c:pt>
                <c:pt idx="31">
                  <c:v>0.73364464969167154</c:v>
                </c:pt>
                <c:pt idx="32">
                  <c:v>0.73871100859102867</c:v>
                </c:pt>
                <c:pt idx="33">
                  <c:v>0.74342961934279905</c:v>
                </c:pt>
                <c:pt idx="34">
                  <c:v>0.74782500967716192</c:v>
                </c:pt>
                <c:pt idx="35">
                  <c:v>0.75191969346915388</c:v>
                </c:pt>
                <c:pt idx="36">
                  <c:v>0.75573436292381402</c:v>
                </c:pt>
                <c:pt idx="37">
                  <c:v>0.75928805982591907</c:v>
                </c:pt>
                <c:pt idx="38">
                  <c:v>0.76259832841313002</c:v>
                </c:pt>
                <c:pt idx="39">
                  <c:v>0.76568135208540111</c:v>
                </c:pt>
                <c:pt idx="40">
                  <c:v>0.76855207586867513</c:v>
                </c:pt>
                <c:pt idx="41">
                  <c:v>0.77122431629903709</c:v>
                </c:pt>
                <c:pt idx="42">
                  <c:v>0.77371086017781532</c:v>
                </c:pt>
                <c:pt idx="43">
                  <c:v>0.7760235534629899</c:v>
                </c:pt>
                <c:pt idx="44">
                  <c:v>0.77817338140299464</c:v>
                </c:pt>
                <c:pt idx="45">
                  <c:v>0.78017054088166771</c:v>
                </c:pt>
                <c:pt idx="46">
                  <c:v>0.78202450582443783</c:v>
                </c:pt>
                <c:pt idx="47">
                  <c:v>0.78374408641308446</c:v>
                </c:pt>
                <c:pt idx="48">
                  <c:v>0.78533748276725612</c:v>
                </c:pt>
                <c:pt idx="49">
                  <c:v>0.78681233367342396</c:v>
                </c:pt>
                <c:pt idx="50">
                  <c:v>0.78817576087444019</c:v>
                </c:pt>
                <c:pt idx="51">
                  <c:v>0.78943440937395937</c:v>
                </c:pt>
                <c:pt idx="52">
                  <c:v>0.79059448415847411</c:v>
                </c:pt>
                <c:pt idx="53">
                  <c:v>0.79166178369461504</c:v>
                </c:pt>
                <c:pt idx="54">
                  <c:v>0.79264173051979447</c:v>
                </c:pt>
                <c:pt idx="55">
                  <c:v>0.79353939920949856</c:v>
                </c:pt>
                <c:pt idx="56">
                  <c:v>0.794359541973929</c:v>
                </c:pt>
                <c:pt idx="57">
                  <c:v>0.79510661210971345</c:v>
                </c:pt>
                <c:pt idx="58">
                  <c:v>0.7957847855085779</c:v>
                </c:pt>
                <c:pt idx="59">
                  <c:v>0.79639798040380905</c:v>
                </c:pt>
                <c:pt idx="60">
                  <c:v>0.79694987551667773</c:v>
                </c:pt>
                <c:pt idx="61">
                  <c:v>0.79744392674844744</c:v>
                </c:pt>
                <c:pt idx="62">
                  <c:v>0.79788338254889501</c:v>
                </c:pt>
                <c:pt idx="63">
                  <c:v>0.79827129807920794</c:v>
                </c:pt>
                <c:pt idx="64">
                  <c:v>0.79861054827547406</c:v>
                </c:pt>
                <c:pt idx="65">
                  <c:v>0.7989038399086158</c:v>
                </c:pt>
                <c:pt idx="66">
                  <c:v>0.79915372272734042</c:v>
                </c:pt>
                <c:pt idx="67">
                  <c:v>0.79936259976240531</c:v>
                </c:pt>
                <c:pt idx="68">
                  <c:v>0.79953273686307824</c:v>
                </c:pt>
                <c:pt idx="69">
                  <c:v>0.79966627153003489</c:v>
                </c:pt>
                <c:pt idx="70">
                  <c:v>0.79976522110296455</c:v>
                </c:pt>
                <c:pt idx="71">
                  <c:v>0.7998314903558138</c:v>
                </c:pt>
                <c:pt idx="72">
                  <c:v>0.79986687854777527</c:v>
                </c:pt>
                <c:pt idx="73">
                  <c:v>0.79987419482412636</c:v>
                </c:pt>
                <c:pt idx="74">
                  <c:v>0.79997655387408417</c:v>
                </c:pt>
                <c:pt idx="75">
                  <c:v>0.81467187617672665</c:v>
                </c:pt>
                <c:pt idx="76">
                  <c:v>0.82829679782278365</c:v>
                </c:pt>
                <c:pt idx="77">
                  <c:v>0.84093842001713848</c:v>
                </c:pt>
                <c:pt idx="78">
                  <c:v>0.85267545508691422</c:v>
                </c:pt>
                <c:pt idx="79">
                  <c:v>0.86357916803263268</c:v>
                </c:pt>
                <c:pt idx="80">
                  <c:v>0.87371419754932778</c:v>
                </c:pt>
                <c:pt idx="81">
                  <c:v>0.88313927379894985</c:v>
                </c:pt>
                <c:pt idx="82">
                  <c:v>0.89190784748014207</c:v>
                </c:pt>
                <c:pt idx="83">
                  <c:v>0.9000686424786023</c:v>
                </c:pt>
                <c:pt idx="84">
                  <c:v>0.90766614250259836</c:v>
                </c:pt>
                <c:pt idx="85">
                  <c:v>0.9147410205432317</c:v>
                </c:pt>
                <c:pt idx="86">
                  <c:v>0.92133051869112181</c:v>
                </c:pt>
                <c:pt idx="87">
                  <c:v>0.92746878474463601</c:v>
                </c:pt>
                <c:pt idx="88">
                  <c:v>0.93318717112265359</c:v>
                </c:pt>
                <c:pt idx="89">
                  <c:v>0.93851450081711707</c:v>
                </c:pt>
                <c:pt idx="90">
                  <c:v>0.94347730446280076</c:v>
                </c:pt>
                <c:pt idx="91">
                  <c:v>0.94810003204381088</c:v>
                </c:pt>
                <c:pt idx="92">
                  <c:v>0.95240524228187862</c:v>
                </c:pt>
                <c:pt idx="93">
                  <c:v>0.9564137723470133</c:v>
                </c:pt>
                <c:pt idx="94">
                  <c:v>0.96014489018534432</c:v>
                </c:pt>
                <c:pt idx="95">
                  <c:v>0.96361643146278253</c:v>
                </c:pt>
                <c:pt idx="96">
                  <c:v>0.9668449228687549</c:v>
                </c:pt>
                <c:pt idx="97">
                  <c:v>0.96984569330532255</c:v>
                </c:pt>
                <c:pt idx="98">
                  <c:v>0.972632974298132</c:v>
                </c:pt>
                <c:pt idx="99">
                  <c:v>0.97521999080238198</c:v>
                </c:pt>
                <c:pt idx="100">
                  <c:v>0.97761904343556771</c:v>
                </c:pt>
                <c:pt idx="101">
                  <c:v>0.97984158304599722</c:v>
                </c:pt>
                <c:pt idx="102">
                  <c:v>0.98189827841931809</c:v>
                </c:pt>
                <c:pt idx="103">
                  <c:v>0.98379907783226084</c:v>
                </c:pt>
                <c:pt idx="104">
                  <c:v>0.98555326508159491</c:v>
                </c:pt>
                <c:pt idx="105">
                  <c:v>0.98716951054526958</c:v>
                </c:pt>
                <c:pt idx="106">
                  <c:v>0.98865591777048656</c:v>
                </c:pt>
                <c:pt idx="107">
                  <c:v>0.9900200660288524</c:v>
                </c:pt>
                <c:pt idx="108">
                  <c:v>0.99126904923074866</c:v>
                </c:pt>
                <c:pt idx="109">
                  <c:v>0.99240951154880375</c:v>
                </c:pt>
                <c:pt idx="110">
                  <c:v>0.99344768006307327</c:v>
                </c:pt>
                <c:pt idx="111">
                  <c:v>0.99438939470761967</c:v>
                </c:pt>
                <c:pt idx="112">
                  <c:v>0.99524013576906489</c:v>
                </c:pt>
                <c:pt idx="113">
                  <c:v>0.99600504916189325</c:v>
                </c:pt>
                <c:pt idx="114">
                  <c:v>0.99668896968239895</c:v>
                </c:pt>
                <c:pt idx="115">
                  <c:v>0.9972964424228481</c:v>
                </c:pt>
                <c:pt idx="116">
                  <c:v>0.99783174250933371</c:v>
                </c:pt>
                <c:pt idx="117">
                  <c:v>0.99829889331070243</c:v>
                </c:pt>
                <c:pt idx="118">
                  <c:v>0.99870168325155773</c:v>
                </c:pt>
                <c:pt idx="119">
                  <c:v>0.9990436813495156</c:v>
                </c:pt>
                <c:pt idx="120">
                  <c:v>0.99932825158541783</c:v>
                </c:pt>
                <c:pt idx="121">
                  <c:v>0.99955856620492833</c:v>
                </c:pt>
                <c:pt idx="122">
                  <c:v>0.99973761804074379</c:v>
                </c:pt>
                <c:pt idx="123">
                  <c:v>0.99986823193637331</c:v>
                </c:pt>
                <c:pt idx="124">
                  <c:v>0.99995307534503131</c:v>
                </c:pt>
                <c:pt idx="125">
                  <c:v>0.99999466817050509</c:v>
                </c:pt>
                <c:pt idx="126">
                  <c:v>1</c:v>
                </c:pt>
              </c:numCache>
            </c:numRef>
          </c:xVal>
          <c:yVal>
            <c:numRef>
              <c:f>'Graph Data'!$AD$5:$AD$131</c:f>
              <c:numCache>
                <c:formatCode>General</c:formatCode>
                <c:ptCount val="127"/>
                <c:pt idx="0">
                  <c:v>1</c:v>
                </c:pt>
                <c:pt idx="1">
                  <c:v>0.96781425913080921</c:v>
                </c:pt>
                <c:pt idx="2">
                  <c:v>0.93794419925861339</c:v>
                </c:pt>
                <c:pt idx="3">
                  <c:v>0.91016114389813685</c:v>
                </c:pt>
                <c:pt idx="4">
                  <c:v>0.88426568318060073</c:v>
                </c:pt>
                <c:pt idx="5">
                  <c:v>0.86008314104842454</c:v>
                </c:pt>
                <c:pt idx="6">
                  <c:v>0.83745985961465408</c:v>
                </c:pt>
                <c:pt idx="7">
                  <c:v>0.81626013383188833</c:v>
                </c:pt>
                <c:pt idx="8">
                  <c:v>0.79636366744881171</c:v>
                </c:pt>
                <c:pt idx="9">
                  <c:v>0.77766344968104828</c:v>
                </c:pt>
                <c:pt idx="10">
                  <c:v>0.7600639736040562</c:v>
                </c:pt>
                <c:pt idx="11">
                  <c:v>0.74347973378318033</c:v>
                </c:pt>
                <c:pt idx="12">
                  <c:v>0.7278339533813426</c:v>
                </c:pt>
                <c:pt idx="13">
                  <c:v>0.71305750086703978</c:v>
                </c:pt>
                <c:pt idx="14">
                  <c:v>0.69908796417309782</c:v>
                </c:pt>
                <c:pt idx="15">
                  <c:v>0.68586885623948701</c:v>
                </c:pt>
                <c:pt idx="16">
                  <c:v>0.67334893069150925</c:v>
                </c:pt>
                <c:pt idx="17">
                  <c:v>0.66148159024345599</c:v>
                </c:pt>
                <c:pt idx="18">
                  <c:v>0.65022437349364348</c:v>
                </c:pt>
                <c:pt idx="19">
                  <c:v>0.63953850825441638</c:v>
                </c:pt>
                <c:pt idx="20">
                  <c:v>0.62938852156678959</c:v>
                </c:pt>
                <c:pt idx="21">
                  <c:v>0.61974189818152114</c:v>
                </c:pt>
                <c:pt idx="22">
                  <c:v>0.61056878062247766</c:v>
                </c:pt>
                <c:pt idx="23">
                  <c:v>0.6018417050434347</c:v>
                </c:pt>
                <c:pt idx="24">
                  <c:v>0.59353536799251838</c:v>
                </c:pt>
                <c:pt idx="25">
                  <c:v>0.58562641994608922</c:v>
                </c:pt>
                <c:pt idx="26">
                  <c:v>0.57809328209521205</c:v>
                </c:pt>
                <c:pt idx="27">
                  <c:v>0.57091598338614657</c:v>
                </c:pt>
                <c:pt idx="28">
                  <c:v>0.56407601525023443</c:v>
                </c:pt>
                <c:pt idx="29">
                  <c:v>0.55755620182308685</c:v>
                </c:pt>
                <c:pt idx="30">
                  <c:v>0.55134058376025519</c:v>
                </c:pt>
                <c:pt idx="31">
                  <c:v>0.54541431401636309</c:v>
                </c:pt>
                <c:pt idx="32">
                  <c:v>0.53976356417507088</c:v>
                </c:pt>
                <c:pt idx="33">
                  <c:v>0.53437544010469584</c:v>
                </c:pt>
                <c:pt idx="34">
                  <c:v>0.52923790587425945</c:v>
                </c:pt>
                <c:pt idx="35">
                  <c:v>0.52433971500156296</c:v>
                </c:pt>
                <c:pt idx="36">
                  <c:v>0.51967034822224345</c:v>
                </c:pt>
                <c:pt idx="37">
                  <c:v>0.51521995706971735</c:v>
                </c:pt>
                <c:pt idx="38">
                  <c:v>0.5109793126429234</c:v>
                </c:pt>
                <c:pt idx="39">
                  <c:v>0.50693975901398747</c:v>
                </c:pt>
                <c:pt idx="40">
                  <c:v>0.50309317079307359</c:v>
                </c:pt>
                <c:pt idx="41">
                  <c:v>0.49943191442424356</c:v>
                </c:pt>
                <c:pt idx="42">
                  <c:v>0.49594881283535847</c:v>
                </c:pt>
                <c:pt idx="43">
                  <c:v>0.49263711310796487</c:v>
                </c:pt>
                <c:pt idx="44">
                  <c:v>0.48949045687059867</c:v>
                </c:pt>
                <c:pt idx="45">
                  <c:v>0.48650285315176378</c:v>
                </c:pt>
                <c:pt idx="46">
                  <c:v>0.48366865345763188</c:v>
                </c:pt>
                <c:pt idx="47">
                  <c:v>0.4809825288648224</c:v>
                </c:pt>
                <c:pt idx="48">
                  <c:v>0.47843944894088425</c:v>
                </c:pt>
                <c:pt idx="49">
                  <c:v>0.47603466232477126</c:v>
                </c:pt>
                <c:pt idx="50">
                  <c:v>0.4737636788169412</c:v>
                </c:pt>
                <c:pt idx="51">
                  <c:v>0.47162225284410347</c:v>
                </c:pt>
                <c:pt idx="52">
                  <c:v>0.46960636817722734</c:v>
                </c:pt>
                <c:pt idx="53">
                  <c:v>0.46771222379355137</c:v>
                </c:pt>
                <c:pt idx="54">
                  <c:v>0.4659362207840605</c:v>
                </c:pt>
                <c:pt idx="55">
                  <c:v>0.46427495021749898</c:v>
                </c:pt>
                <c:pt idx="56">
                  <c:v>0.46272518188051309</c:v>
                </c:pt>
                <c:pt idx="57">
                  <c:v>0.46128385382116432</c:v>
                </c:pt>
                <c:pt idx="58">
                  <c:v>0.45994806262986532</c:v>
                </c:pt>
                <c:pt idx="59">
                  <c:v>0.45871505439791727</c:v>
                </c:pt>
                <c:pt idx="60">
                  <c:v>0.45758221629930257</c:v>
                </c:pt>
                <c:pt idx="61">
                  <c:v>0.45654706874631396</c:v>
                </c:pt>
                <c:pt idx="62">
                  <c:v>0.45560725807403274</c:v>
                </c:pt>
                <c:pt idx="63">
                  <c:v>0.45476054971264579</c:v>
                </c:pt>
                <c:pt idx="64">
                  <c:v>0.4540048218101988</c:v>
                </c:pt>
                <c:pt idx="65">
                  <c:v>0.45333805927161158</c:v>
                </c:pt>
                <c:pt idx="66">
                  <c:v>0.45275834818272354</c:v>
                </c:pt>
                <c:pt idx="67">
                  <c:v>0.45226387059077794</c:v>
                </c:pt>
                <c:pt idx="68">
                  <c:v>0.45185289961516534</c:v>
                </c:pt>
                <c:pt idx="69">
                  <c:v>0.45152379486440775</c:v>
                </c:pt>
                <c:pt idx="70">
                  <c:v>0.4512749981373535</c:v>
                </c:pt>
                <c:pt idx="71">
                  <c:v>0.45110502938833724</c:v>
                </c:pt>
                <c:pt idx="72">
                  <c:v>0.45101248293769691</c:v>
                </c:pt>
                <c:pt idx="73">
                  <c:v>0.45099303711724403</c:v>
                </c:pt>
                <c:pt idx="74">
                  <c:v>0.347541558597324</c:v>
                </c:pt>
                <c:pt idx="75">
                  <c:v>0.34243356624621674</c:v>
                </c:pt>
                <c:pt idx="76">
                  <c:v>0.33757350337571218</c:v>
                </c:pt>
                <c:pt idx="77">
                  <c:v>0.3329473677236352</c:v>
                </c:pt>
                <c:pt idx="78">
                  <c:v>0.328542234298698</c:v>
                </c:pt>
                <c:pt idx="79">
                  <c:v>0.32434615475171641</c:v>
                </c:pt>
                <c:pt idx="80">
                  <c:v>0.3203480678300018</c:v>
                </c:pt>
                <c:pt idx="81">
                  <c:v>0.31653771951665272</c:v>
                </c:pt>
                <c:pt idx="82">
                  <c:v>0.31290559165450887</c:v>
                </c:pt>
                <c:pt idx="83">
                  <c:v>0.30944283802156702</c:v>
                </c:pt>
                <c:pt idx="84">
                  <c:v>0.30614122696599061</c:v>
                </c:pt>
                <c:pt idx="85">
                  <c:v>0.30299308982878731</c:v>
                </c:pt>
                <c:pt idx="86">
                  <c:v>0.29999127448433455</c:v>
                </c:pt>
                <c:pt idx="87">
                  <c:v>0.29712910341608079</c:v>
                </c:pt>
                <c:pt idx="88">
                  <c:v>0.29440033581935504</c:v>
                </c:pt>
                <c:pt idx="89">
                  <c:v>0.29179913328724116</c:v>
                </c:pt>
                <c:pt idx="90">
                  <c:v>0.28932002869055962</c:v>
                </c:pt>
                <c:pt idx="91">
                  <c:v>0.2869578979105209</c:v>
                </c:pt>
                <c:pt idx="92">
                  <c:v>0.28470793412369599</c:v>
                </c:pt>
                <c:pt idx="93">
                  <c:v>0.28256562437455857</c:v>
                </c:pt>
                <c:pt idx="94">
                  <c:v>0.28052672820177738</c:v>
                </c:pt>
                <c:pt idx="95">
                  <c:v>0.27858725811135931</c:v>
                </c:pt>
                <c:pt idx="96">
                  <c:v>0.2767434617132245</c:v>
                </c:pt>
                <c:pt idx="97">
                  <c:v>0.27499180535833018</c:v>
                </c:pt>
                <c:pt idx="98">
                  <c:v>0.27332895913142202</c:v>
                </c:pt>
                <c:pt idx="99">
                  <c:v>0.27175178307028447</c:v>
                </c:pt>
                <c:pt idx="100">
                  <c:v>0.27025731449622253</c:v>
                </c:pt>
                <c:pt idx="101">
                  <c:v>0.26884275635272281</c:v>
                </c:pt>
                <c:pt idx="102">
                  <c:v>0.26750546646002621</c:v>
                </c:pt>
                <c:pt idx="103">
                  <c:v>0.26624294760286543</c:v>
                </c:pt>
                <c:pt idx="104">
                  <c:v>0.26505283837705856</c:v>
                </c:pt>
                <c:pt idx="105">
                  <c:v>0.26393290472812808</c:v>
                </c:pt>
                <c:pt idx="106">
                  <c:v>0.26288103212175601</c:v>
                </c:pt>
                <c:pt idx="107">
                  <c:v>0.26189521829179779</c:v>
                </c:pt>
                <c:pt idx="108">
                  <c:v>0.26097356651683951</c:v>
                </c:pt>
                <c:pt idx="109">
                  <c:v>0.26011427938098203</c:v>
                </c:pt>
                <c:pt idx="110">
                  <c:v>0.25931565297873066</c:v>
                </c:pt>
                <c:pt idx="111">
                  <c:v>0.2585760715276223</c:v>
                </c:pt>
                <c:pt idx="112">
                  <c:v>0.25789400235559251</c:v>
                </c:pt>
                <c:pt idx="113">
                  <c:v>0.25726799123309169</c:v>
                </c:pt>
                <c:pt idx="114">
                  <c:v>0.25669665802268243</c:v>
                </c:pt>
                <c:pt idx="115">
                  <c:v>0.25617869262127985</c:v>
                </c:pt>
                <c:pt idx="116">
                  <c:v>0.25571285117239723</c:v>
                </c:pt>
                <c:pt idx="117">
                  <c:v>0.25529795252773518</c:v>
                </c:pt>
                <c:pt idx="118">
                  <c:v>0.25493287493924366</c:v>
                </c:pt>
                <c:pt idx="119">
                  <c:v>0.254616552964399</c:v>
                </c:pt>
                <c:pt idx="120">
                  <c:v>0.25434797456889879</c:v>
                </c:pt>
                <c:pt idx="121">
                  <c:v>0.25412617841230245</c:v>
                </c:pt>
                <c:pt idx="122">
                  <c:v>0.25395025130334437</c:v>
                </c:pt>
                <c:pt idx="123">
                  <c:v>0.25381932581273625</c:v>
                </c:pt>
                <c:pt idx="124">
                  <c:v>0.25373257803226396</c:v>
                </c:pt>
                <c:pt idx="125">
                  <c:v>0.25368922546988698</c:v>
                </c:pt>
                <c:pt idx="126">
                  <c:v>0.25368358337844982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4D-4226-8CD6-2070D0509987}"/>
            </c:ext>
          </c:extLst>
        </c:ser>
        <c:ser>
          <c:idx val="3"/>
          <c:order val="3"/>
          <c:tx>
            <c:strRef>
              <c:f>'Graph Data'!$AE$3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Data'!$AA$5:$AA$131</c:f>
              <c:numCache>
                <c:formatCode>General</c:formatCode>
                <c:ptCount val="127"/>
                <c:pt idx="0">
                  <c:v>0</c:v>
                </c:pt>
                <c:pt idx="1">
                  <c:v>7.1275523388556708E-2</c:v>
                </c:pt>
                <c:pt idx="2">
                  <c:v>0.13491042494554431</c:v>
                </c:pt>
                <c:pt idx="3">
                  <c:v>0.19191340952193084</c:v>
                </c:pt>
                <c:pt idx="4">
                  <c:v>0.24313356181642837</c:v>
                </c:pt>
                <c:pt idx="5">
                  <c:v>0.28928963773284916</c:v>
                </c:pt>
                <c:pt idx="6">
                  <c:v>0.33099327890465191</c:v>
                </c:pt>
                <c:pt idx="7">
                  <c:v>0.36876754875003709</c:v>
                </c:pt>
                <c:pt idx="8">
                  <c:v>0.40306183668270862</c:v>
                </c:pt>
                <c:pt idx="9">
                  <c:v>0.4342639209717073</c:v>
                </c:pt>
                <c:pt idx="10">
                  <c:v>0.46270979239465454</c:v>
                </c:pt>
                <c:pt idx="11">
                  <c:v>0.48869170104307652</c:v>
                </c:pt>
                <c:pt idx="12">
                  <c:v>0.51246478399159001</c:v>
                </c:pt>
                <c:pt idx="13">
                  <c:v>0.53425255255857051</c:v>
                </c:pt>
                <c:pt idx="14">
                  <c:v>0.55425145780904805</c:v>
                </c:pt>
                <c:pt idx="15">
                  <c:v>0.57263470691987706</c:v>
                </c:pt>
                <c:pt idx="16">
                  <c:v>0.58955546751363841</c:v>
                </c:pt>
                <c:pt idx="17">
                  <c:v>0.60514956948770926</c:v>
                </c:pt>
                <c:pt idx="18">
                  <c:v>0.61953779231202799</c:v>
                </c:pt>
                <c:pt idx="19">
                  <c:v>0.63282780882582934</c:v>
                </c:pt>
                <c:pt idx="20">
                  <c:v>0.64511584316857662</c:v>
                </c:pt>
                <c:pt idx="21">
                  <c:v>0.6564880898330836</c:v>
                </c:pt>
                <c:pt idx="22">
                  <c:v>0.66702193232205442</c:v>
                </c:pt>
                <c:pt idx="23">
                  <c:v>0.67678699305906764</c:v>
                </c:pt>
                <c:pt idx="24">
                  <c:v>0.6858460406951008</c:v>
                </c:pt>
                <c:pt idx="25">
                  <c:v>0.69425577648671166</c:v>
                </c:pt>
                <c:pt idx="26">
                  <c:v>0.70206751778810739</c:v>
                </c:pt>
                <c:pt idx="27">
                  <c:v>0.70932779372955901</c:v>
                </c:pt>
                <c:pt idx="28">
                  <c:v>0.71607886571788582</c:v>
                </c:pt>
                <c:pt idx="29">
                  <c:v>0.72235918338770722</c:v>
                </c:pt>
                <c:pt idx="30">
                  <c:v>0.72820378497296157</c:v>
                </c:pt>
                <c:pt idx="31">
                  <c:v>0.73364464969167154</c:v>
                </c:pt>
                <c:pt idx="32">
                  <c:v>0.73871100859102867</c:v>
                </c:pt>
                <c:pt idx="33">
                  <c:v>0.74342961934279905</c:v>
                </c:pt>
                <c:pt idx="34">
                  <c:v>0.74782500967716192</c:v>
                </c:pt>
                <c:pt idx="35">
                  <c:v>0.75191969346915388</c:v>
                </c:pt>
                <c:pt idx="36">
                  <c:v>0.75573436292381402</c:v>
                </c:pt>
                <c:pt idx="37">
                  <c:v>0.75928805982591907</c:v>
                </c:pt>
                <c:pt idx="38">
                  <c:v>0.76259832841313002</c:v>
                </c:pt>
                <c:pt idx="39">
                  <c:v>0.76568135208540111</c:v>
                </c:pt>
                <c:pt idx="40">
                  <c:v>0.76855207586867513</c:v>
                </c:pt>
                <c:pt idx="41">
                  <c:v>0.77122431629903709</c:v>
                </c:pt>
                <c:pt idx="42">
                  <c:v>0.77371086017781532</c:v>
                </c:pt>
                <c:pt idx="43">
                  <c:v>0.7760235534629899</c:v>
                </c:pt>
                <c:pt idx="44">
                  <c:v>0.77817338140299464</c:v>
                </c:pt>
                <c:pt idx="45">
                  <c:v>0.78017054088166771</c:v>
                </c:pt>
                <c:pt idx="46">
                  <c:v>0.78202450582443783</c:v>
                </c:pt>
                <c:pt idx="47">
                  <c:v>0.78374408641308446</c:v>
                </c:pt>
                <c:pt idx="48">
                  <c:v>0.78533748276725612</c:v>
                </c:pt>
                <c:pt idx="49">
                  <c:v>0.78681233367342396</c:v>
                </c:pt>
                <c:pt idx="50">
                  <c:v>0.78817576087444019</c:v>
                </c:pt>
                <c:pt idx="51">
                  <c:v>0.78943440937395937</c:v>
                </c:pt>
                <c:pt idx="52">
                  <c:v>0.79059448415847411</c:v>
                </c:pt>
                <c:pt idx="53">
                  <c:v>0.79166178369461504</c:v>
                </c:pt>
                <c:pt idx="54">
                  <c:v>0.79264173051979447</c:v>
                </c:pt>
                <c:pt idx="55">
                  <c:v>0.79353939920949856</c:v>
                </c:pt>
                <c:pt idx="56">
                  <c:v>0.794359541973929</c:v>
                </c:pt>
                <c:pt idx="57">
                  <c:v>0.79510661210971345</c:v>
                </c:pt>
                <c:pt idx="58">
                  <c:v>0.7957847855085779</c:v>
                </c:pt>
                <c:pt idx="59">
                  <c:v>0.79639798040380905</c:v>
                </c:pt>
                <c:pt idx="60">
                  <c:v>0.79694987551667773</c:v>
                </c:pt>
                <c:pt idx="61">
                  <c:v>0.79744392674844744</c:v>
                </c:pt>
                <c:pt idx="62">
                  <c:v>0.79788338254889501</c:v>
                </c:pt>
                <c:pt idx="63">
                  <c:v>0.79827129807920794</c:v>
                </c:pt>
                <c:pt idx="64">
                  <c:v>0.79861054827547406</c:v>
                </c:pt>
                <c:pt idx="65">
                  <c:v>0.7989038399086158</c:v>
                </c:pt>
                <c:pt idx="66">
                  <c:v>0.79915372272734042</c:v>
                </c:pt>
                <c:pt idx="67">
                  <c:v>0.79936259976240531</c:v>
                </c:pt>
                <c:pt idx="68">
                  <c:v>0.79953273686307824</c:v>
                </c:pt>
                <c:pt idx="69">
                  <c:v>0.79966627153003489</c:v>
                </c:pt>
                <c:pt idx="70">
                  <c:v>0.79976522110296455</c:v>
                </c:pt>
                <c:pt idx="71">
                  <c:v>0.7998314903558138</c:v>
                </c:pt>
                <c:pt idx="72">
                  <c:v>0.79986687854777527</c:v>
                </c:pt>
                <c:pt idx="73">
                  <c:v>0.79987419482412636</c:v>
                </c:pt>
                <c:pt idx="74">
                  <c:v>0.79997655387408417</c:v>
                </c:pt>
                <c:pt idx="75">
                  <c:v>0.81467187617672665</c:v>
                </c:pt>
                <c:pt idx="76">
                  <c:v>0.82829679782278365</c:v>
                </c:pt>
                <c:pt idx="77">
                  <c:v>0.84093842001713848</c:v>
                </c:pt>
                <c:pt idx="78">
                  <c:v>0.85267545508691422</c:v>
                </c:pt>
                <c:pt idx="79">
                  <c:v>0.86357916803263268</c:v>
                </c:pt>
                <c:pt idx="80">
                  <c:v>0.87371419754932778</c:v>
                </c:pt>
                <c:pt idx="81">
                  <c:v>0.88313927379894985</c:v>
                </c:pt>
                <c:pt idx="82">
                  <c:v>0.89190784748014207</c:v>
                </c:pt>
                <c:pt idx="83">
                  <c:v>0.9000686424786023</c:v>
                </c:pt>
                <c:pt idx="84">
                  <c:v>0.90766614250259836</c:v>
                </c:pt>
                <c:pt idx="85">
                  <c:v>0.9147410205432317</c:v>
                </c:pt>
                <c:pt idx="86">
                  <c:v>0.92133051869112181</c:v>
                </c:pt>
                <c:pt idx="87">
                  <c:v>0.92746878474463601</c:v>
                </c:pt>
                <c:pt idx="88">
                  <c:v>0.93318717112265359</c:v>
                </c:pt>
                <c:pt idx="89">
                  <c:v>0.93851450081711707</c:v>
                </c:pt>
                <c:pt idx="90">
                  <c:v>0.94347730446280076</c:v>
                </c:pt>
                <c:pt idx="91">
                  <c:v>0.94810003204381088</c:v>
                </c:pt>
                <c:pt idx="92">
                  <c:v>0.95240524228187862</c:v>
                </c:pt>
                <c:pt idx="93">
                  <c:v>0.9564137723470133</c:v>
                </c:pt>
                <c:pt idx="94">
                  <c:v>0.96014489018534432</c:v>
                </c:pt>
                <c:pt idx="95">
                  <c:v>0.96361643146278253</c:v>
                </c:pt>
                <c:pt idx="96">
                  <c:v>0.9668449228687549</c:v>
                </c:pt>
                <c:pt idx="97">
                  <c:v>0.96984569330532255</c:v>
                </c:pt>
                <c:pt idx="98">
                  <c:v>0.972632974298132</c:v>
                </c:pt>
                <c:pt idx="99">
                  <c:v>0.97521999080238198</c:v>
                </c:pt>
                <c:pt idx="100">
                  <c:v>0.97761904343556771</c:v>
                </c:pt>
                <c:pt idx="101">
                  <c:v>0.97984158304599722</c:v>
                </c:pt>
                <c:pt idx="102">
                  <c:v>0.98189827841931809</c:v>
                </c:pt>
                <c:pt idx="103">
                  <c:v>0.98379907783226084</c:v>
                </c:pt>
                <c:pt idx="104">
                  <c:v>0.98555326508159491</c:v>
                </c:pt>
                <c:pt idx="105">
                  <c:v>0.98716951054526958</c:v>
                </c:pt>
                <c:pt idx="106">
                  <c:v>0.98865591777048656</c:v>
                </c:pt>
                <c:pt idx="107">
                  <c:v>0.9900200660288524</c:v>
                </c:pt>
                <c:pt idx="108">
                  <c:v>0.99126904923074866</c:v>
                </c:pt>
                <c:pt idx="109">
                  <c:v>0.99240951154880375</c:v>
                </c:pt>
                <c:pt idx="110">
                  <c:v>0.99344768006307327</c:v>
                </c:pt>
                <c:pt idx="111">
                  <c:v>0.99438939470761967</c:v>
                </c:pt>
                <c:pt idx="112">
                  <c:v>0.99524013576906489</c:v>
                </c:pt>
                <c:pt idx="113">
                  <c:v>0.99600504916189325</c:v>
                </c:pt>
                <c:pt idx="114">
                  <c:v>0.99668896968239895</c:v>
                </c:pt>
                <c:pt idx="115">
                  <c:v>0.9972964424228481</c:v>
                </c:pt>
                <c:pt idx="116">
                  <c:v>0.99783174250933371</c:v>
                </c:pt>
                <c:pt idx="117">
                  <c:v>0.99829889331070243</c:v>
                </c:pt>
                <c:pt idx="118">
                  <c:v>0.99870168325155773</c:v>
                </c:pt>
                <c:pt idx="119">
                  <c:v>0.9990436813495156</c:v>
                </c:pt>
                <c:pt idx="120">
                  <c:v>0.99932825158541783</c:v>
                </c:pt>
                <c:pt idx="121">
                  <c:v>0.99955856620492833</c:v>
                </c:pt>
                <c:pt idx="122">
                  <c:v>0.99973761804074379</c:v>
                </c:pt>
                <c:pt idx="123">
                  <c:v>0.99986823193637331</c:v>
                </c:pt>
                <c:pt idx="124">
                  <c:v>0.99995307534503131</c:v>
                </c:pt>
                <c:pt idx="125">
                  <c:v>0.99999466817050509</c:v>
                </c:pt>
                <c:pt idx="126">
                  <c:v>1</c:v>
                </c:pt>
              </c:numCache>
            </c:numRef>
          </c:xVal>
          <c:yVal>
            <c:numRef>
              <c:f>'Graph Data'!$AE$5:$AE$131</c:f>
              <c:numCache>
                <c:formatCode>General</c:formatCode>
                <c:ptCount val="127"/>
                <c:pt idx="0">
                  <c:v>1</c:v>
                </c:pt>
                <c:pt idx="1">
                  <c:v>0.9989062127862891</c:v>
                </c:pt>
                <c:pt idx="2">
                  <c:v>0.9977755760223822</c:v>
                </c:pt>
                <c:pt idx="3">
                  <c:v>0.9966083479220339</c:v>
                </c:pt>
                <c:pt idx="4">
                  <c:v>0.99540479412579808</c:v>
                </c:pt>
                <c:pt idx="5">
                  <c:v>0.99416518755360805</c:v>
                </c:pt>
                <c:pt idx="6">
                  <c:v>0.99288980825413053</c:v>
                </c:pt>
                <c:pt idx="7">
                  <c:v>0.99157894325104656</c:v>
                </c:pt>
                <c:pt idx="8">
                  <c:v>0.99023288638641049</c:v>
                </c:pt>
                <c:pt idx="9">
                  <c:v>0.98885193816124151</c:v>
                </c:pt>
                <c:pt idx="10">
                  <c:v>0.98743640557350632</c:v>
                </c:pt>
                <c:pt idx="11">
                  <c:v>0.98598660195364407</c:v>
                </c:pt>
                <c:pt idx="12">
                  <c:v>0.98450284679779743</c:v>
                </c:pt>
                <c:pt idx="13">
                  <c:v>0.98298546559890498</c:v>
                </c:pt>
                <c:pt idx="14">
                  <c:v>0.98143478967581466</c:v>
                </c:pt>
                <c:pt idx="15">
                  <c:v>0.97985115600057826</c:v>
                </c:pt>
                <c:pt idx="16">
                  <c:v>0.97823490702408522</c:v>
                </c:pt>
                <c:pt idx="17">
                  <c:v>0.97658639050019713</c:v>
                </c:pt>
                <c:pt idx="18">
                  <c:v>0.97490595930853674</c:v>
                </c:pt>
                <c:pt idx="19">
                  <c:v>0.97319397127609686</c:v>
                </c:pt>
                <c:pt idx="20">
                  <c:v>0.97145078899782111</c:v>
                </c:pt>
                <c:pt idx="21">
                  <c:v>0.96967677965631338</c:v>
                </c:pt>
                <c:pt idx="22">
                  <c:v>0.96787231484083358</c:v>
                </c:pt>
                <c:pt idx="23">
                  <c:v>0.96603777036573024</c:v>
                </c:pt>
                <c:pt idx="24">
                  <c:v>0.96417352608846607</c:v>
                </c:pt>
                <c:pt idx="25">
                  <c:v>0.96227996572738006</c:v>
                </c:pt>
                <c:pt idx="26">
                  <c:v>0.96035747667934412</c:v>
                </c:pt>
                <c:pt idx="27">
                  <c:v>0.95840644983744883</c:v>
                </c:pt>
                <c:pt idx="28">
                  <c:v>0.95642727940887251</c:v>
                </c:pt>
                <c:pt idx="29">
                  <c:v>0.95442036273306885</c:v>
                </c:pt>
                <c:pt idx="30">
                  <c:v>0.95238610010041358</c:v>
                </c:pt>
                <c:pt idx="31">
                  <c:v>0.95032489457144675</c:v>
                </c:pt>
                <c:pt idx="32">
                  <c:v>0.9482371517968432</c:v>
                </c:pt>
                <c:pt idx="33">
                  <c:v>0.94612327983824096</c:v>
                </c:pt>
                <c:pt idx="34">
                  <c:v>0.94398368899005691</c:v>
                </c:pt>
                <c:pt idx="35">
                  <c:v>0.94181879160240967</c:v>
                </c:pt>
                <c:pt idx="36">
                  <c:v>0.9396290019052741</c:v>
                </c:pt>
                <c:pt idx="37">
                  <c:v>0.93741473583398216</c:v>
                </c:pt>
                <c:pt idx="38">
                  <c:v>0.9351764108561843</c:v>
                </c:pt>
                <c:pt idx="39">
                  <c:v>0.9329144458003823</c:v>
                </c:pt>
                <c:pt idx="40">
                  <c:v>0.93062926068613772</c:v>
                </c:pt>
                <c:pt idx="41">
                  <c:v>0.92832127655606178</c:v>
                </c:pt>
                <c:pt idx="42">
                  <c:v>0.92599091530968192</c:v>
                </c:pt>
                <c:pt idx="43">
                  <c:v>0.92363859953928373</c:v>
                </c:pt>
                <c:pt idx="44">
                  <c:v>0.92126475236781591</c:v>
                </c:pt>
                <c:pt idx="45">
                  <c:v>0.9188697972889478</c:v>
                </c:pt>
                <c:pt idx="46">
                  <c:v>0.91645415800936336</c:v>
                </c:pt>
                <c:pt idx="47">
                  <c:v>0.91401825829336814</c:v>
                </c:pt>
                <c:pt idx="48">
                  <c:v>0.91156252180988773</c:v>
                </c:pt>
                <c:pt idx="49">
                  <c:v>0.90908737198192646</c:v>
                </c:pt>
                <c:pt idx="50">
                  <c:v>0.90659323183855822</c:v>
                </c:pt>
                <c:pt idx="51">
                  <c:v>0.90408052386950555</c:v>
                </c:pt>
                <c:pt idx="52">
                  <c:v>0.90154966988237684</c:v>
                </c:pt>
                <c:pt idx="53">
                  <c:v>0.89900109086260549</c:v>
                </c:pt>
                <c:pt idx="54">
                  <c:v>0.89643520683615507</c:v>
                </c:pt>
                <c:pt idx="55">
                  <c:v>0.89385243673502668</c:v>
                </c:pt>
                <c:pt idx="56">
                  <c:v>0.89125319826562388</c:v>
                </c:pt>
                <c:pt idx="57">
                  <c:v>0.88863790778000551</c:v>
                </c:pt>
                <c:pt idx="58">
                  <c:v>0.88600698015007018</c:v>
                </c:pt>
                <c:pt idx="59">
                  <c:v>0.88336082864470111</c:v>
                </c:pt>
                <c:pt idx="60">
                  <c:v>0.88069986480990403</c:v>
                </c:pt>
                <c:pt idx="61">
                  <c:v>0.87802449835195895</c:v>
                </c:pt>
                <c:pt idx="62">
                  <c:v>0.87533513702361399</c:v>
                </c:pt>
                <c:pt idx="63">
                  <c:v>0.87263218651333452</c:v>
                </c:pt>
                <c:pt idx="64">
                  <c:v>0.86991605033762653</c:v>
                </c:pt>
                <c:pt idx="65">
                  <c:v>0.86718712973644541</c:v>
                </c:pt>
                <c:pt idx="66">
                  <c:v>0.86444582357169686</c:v>
                </c:pt>
                <c:pt idx="67">
                  <c:v>0.86169252822883879</c:v>
                </c:pt>
                <c:pt idx="68">
                  <c:v>0.85892763752158396</c:v>
                </c:pt>
                <c:pt idx="69">
                  <c:v>0.85615154259970538</c:v>
                </c:pt>
                <c:pt idx="70">
                  <c:v>0.85336463185993872</c:v>
                </c:pt>
                <c:pt idx="71">
                  <c:v>0.85056729085997718</c:v>
                </c:pt>
                <c:pt idx="72">
                  <c:v>0.84775990223554942</c:v>
                </c:pt>
                <c:pt idx="73">
                  <c:v>0.84573857600502689</c:v>
                </c:pt>
                <c:pt idx="74">
                  <c:v>0.96931471548972847</c:v>
                </c:pt>
                <c:pt idx="75">
                  <c:v>0.96750414407838503</c:v>
                </c:pt>
                <c:pt idx="76">
                  <c:v>0.96566356941966358</c:v>
                </c:pt>
                <c:pt idx="77">
                  <c:v>0.96379337216562733</c:v>
                </c:pt>
                <c:pt idx="78">
                  <c:v>0.96189393679238766</c:v>
                </c:pt>
                <c:pt idx="79">
                  <c:v>0.95996565141775148</c:v>
                </c:pt>
                <c:pt idx="80">
                  <c:v>0.95800890761893587</c:v>
                </c:pt>
                <c:pt idx="81">
                  <c:v>0.95602410025048845</c:v>
                </c:pt>
                <c:pt idx="82">
                  <c:v>0.95401162726255617</c:v>
                </c:pt>
                <c:pt idx="83">
                  <c:v>0.95197188951964318</c:v>
                </c:pt>
                <c:pt idx="84">
                  <c:v>0.94990529061998774</c:v>
                </c:pt>
                <c:pt idx="85">
                  <c:v>0.94781223671569681</c:v>
                </c:pt>
                <c:pt idx="86">
                  <c:v>0.94569313633376351</c:v>
                </c:pt>
                <c:pt idx="87">
                  <c:v>0.94354840019809583</c:v>
                </c:pt>
                <c:pt idx="88">
                  <c:v>0.94137844105267976</c:v>
                </c:pt>
                <c:pt idx="89">
                  <c:v>0.93918367348599574</c:v>
                </c:pt>
                <c:pt idx="90">
                  <c:v>0.93696451375680545</c:v>
                </c:pt>
                <c:pt idx="91">
                  <c:v>0.93472137962142299</c:v>
                </c:pt>
                <c:pt idx="92">
                  <c:v>0.93245469016257565</c:v>
                </c:pt>
                <c:pt idx="93">
                  <c:v>0.93016486561996692</c:v>
                </c:pt>
                <c:pt idx="94">
                  <c:v>0.92785232722263455</c:v>
                </c:pt>
                <c:pt idx="95">
                  <c:v>0.92551749702321051</c:v>
                </c:pt>
                <c:pt idx="96">
                  <c:v>0.92316079773417259</c:v>
                </c:pt>
                <c:pt idx="97">
                  <c:v>0.92078265256617575</c:v>
                </c:pt>
                <c:pt idx="98">
                  <c:v>0.9183834850685566</c:v>
                </c:pt>
                <c:pt idx="99">
                  <c:v>0.91596371897208695</c:v>
                </c:pt>
                <c:pt idx="100">
                  <c:v>0.91352377803405871</c:v>
                </c:pt>
                <c:pt idx="101">
                  <c:v>0.91106408588577303</c:v>
                </c:pt>
                <c:pt idx="102">
                  <c:v>0.90858506588250643</c:v>
                </c:pt>
                <c:pt idx="103">
                  <c:v>0.90608714095601761</c:v>
                </c:pt>
                <c:pt idx="104">
                  <c:v>0.9035707334696611</c:v>
                </c:pt>
                <c:pt idx="105">
                  <c:v>0.90103626507616297</c:v>
                </c:pt>
                <c:pt idx="106">
                  <c:v>0.89848415657811742</c:v>
                </c:pt>
                <c:pt idx="107">
                  <c:v>0.89591482779125264</c:v>
                </c:pt>
                <c:pt idx="108">
                  <c:v>0.89332869741051302</c:v>
                </c:pt>
                <c:pt idx="109">
                  <c:v>0.89072618287900374</c:v>
                </c:pt>
                <c:pt idx="110">
                  <c:v>0.8881077002598321</c:v>
                </c:pt>
                <c:pt idx="111">
                  <c:v>0.88547366411088935</c:v>
                </c:pt>
                <c:pt idx="112">
                  <c:v>0.88282448736259689</c:v>
                </c:pt>
                <c:pt idx="113">
                  <c:v>0.88016058119865004</c:v>
                </c:pt>
                <c:pt idx="114">
                  <c:v>0.87748235493978466</c:v>
                </c:pt>
                <c:pt idx="115">
                  <c:v>0.87479021593058559</c:v>
                </c:pt>
                <c:pt idx="116">
                  <c:v>0.87208456942935564</c:v>
                </c:pt>
                <c:pt idx="117">
                  <c:v>0.86936581850106187</c:v>
                </c:pt>
                <c:pt idx="118">
                  <c:v>0.86663436391336723</c:v>
                </c:pt>
                <c:pt idx="119">
                  <c:v>0.86389060403575924</c:v>
                </c:pt>
                <c:pt idx="120">
                  <c:v>0.86113493474177694</c:v>
                </c:pt>
                <c:pt idx="121">
                  <c:v>0.85836774931434079</c:v>
                </c:pt>
                <c:pt idx="122">
                  <c:v>0.85558943835418422</c:v>
                </c:pt>
                <c:pt idx="123">
                  <c:v>0.8528003896913805</c:v>
                </c:pt>
                <c:pt idx="124">
                  <c:v>0.85000098829996229</c:v>
                </c:pt>
                <c:pt idx="125">
                  <c:v>0.84719161621562045</c:v>
                </c:pt>
                <c:pt idx="126">
                  <c:v>0.84573857600502689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C4D-4226-8CD6-2070D0509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47</xdr:row>
      <xdr:rowOff>28575</xdr:rowOff>
    </xdr:from>
    <xdr:to>
      <xdr:col>14</xdr:col>
      <xdr:colOff>255878</xdr:colOff>
      <xdr:row>52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63</xdr:row>
          <xdr:rowOff>95250</xdr:rowOff>
        </xdr:from>
        <xdr:to>
          <xdr:col>8</xdr:col>
          <xdr:colOff>495300</xdr:colOff>
          <xdr:row>67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64</xdr:row>
      <xdr:rowOff>0</xdr:rowOff>
    </xdr:from>
    <xdr:to>
      <xdr:col>5</xdr:col>
      <xdr:colOff>600075</xdr:colOff>
      <xdr:row>64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69</xdr:row>
      <xdr:rowOff>95250</xdr:rowOff>
    </xdr:from>
    <xdr:to>
      <xdr:col>5</xdr:col>
      <xdr:colOff>104775</xdr:colOff>
      <xdr:row>70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71</xdr:row>
      <xdr:rowOff>114300</xdr:rowOff>
    </xdr:from>
    <xdr:to>
      <xdr:col>5</xdr:col>
      <xdr:colOff>161925</xdr:colOff>
      <xdr:row>75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74</xdr:row>
      <xdr:rowOff>123825</xdr:rowOff>
    </xdr:from>
    <xdr:to>
      <xdr:col>5</xdr:col>
      <xdr:colOff>152400</xdr:colOff>
      <xdr:row>77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76</xdr:row>
      <xdr:rowOff>114300</xdr:rowOff>
    </xdr:from>
    <xdr:to>
      <xdr:col>5</xdr:col>
      <xdr:colOff>161925</xdr:colOff>
      <xdr:row>79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78</xdr:row>
      <xdr:rowOff>133350</xdr:rowOff>
    </xdr:from>
    <xdr:to>
      <xdr:col>5</xdr:col>
      <xdr:colOff>190500</xdr:colOff>
      <xdr:row>82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88</xdr:row>
      <xdr:rowOff>142875</xdr:rowOff>
    </xdr:from>
    <xdr:to>
      <xdr:col>5</xdr:col>
      <xdr:colOff>209550</xdr:colOff>
      <xdr:row>89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88</xdr:row>
      <xdr:rowOff>85725</xdr:rowOff>
    </xdr:from>
    <xdr:to>
      <xdr:col>2</xdr:col>
      <xdr:colOff>247651</xdr:colOff>
      <xdr:row>99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106</xdr:row>
      <xdr:rowOff>114300</xdr:rowOff>
    </xdr:from>
    <xdr:to>
      <xdr:col>4</xdr:col>
      <xdr:colOff>552450</xdr:colOff>
      <xdr:row>107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108</xdr:row>
      <xdr:rowOff>104775</xdr:rowOff>
    </xdr:from>
    <xdr:to>
      <xdr:col>4</xdr:col>
      <xdr:colOff>571500</xdr:colOff>
      <xdr:row>111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111</xdr:row>
      <xdr:rowOff>114299</xdr:rowOff>
    </xdr:from>
    <xdr:to>
      <xdr:col>4</xdr:col>
      <xdr:colOff>590550</xdr:colOff>
      <xdr:row>116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113</xdr:row>
      <xdr:rowOff>133349</xdr:rowOff>
    </xdr:from>
    <xdr:to>
      <xdr:col>4</xdr:col>
      <xdr:colOff>561975</xdr:colOff>
      <xdr:row>121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117</xdr:row>
      <xdr:rowOff>123826</xdr:rowOff>
    </xdr:from>
    <xdr:to>
      <xdr:col>4</xdr:col>
      <xdr:colOff>581028</xdr:colOff>
      <xdr:row>124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119</xdr:row>
      <xdr:rowOff>95254</xdr:rowOff>
    </xdr:from>
    <xdr:to>
      <xdr:col>4</xdr:col>
      <xdr:colOff>590553</xdr:colOff>
      <xdr:row>127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122</xdr:row>
      <xdr:rowOff>104777</xdr:rowOff>
    </xdr:from>
    <xdr:to>
      <xdr:col>5</xdr:col>
      <xdr:colOff>19050</xdr:colOff>
      <xdr:row>129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59</xdr:row>
          <xdr:rowOff>57150</xdr:rowOff>
        </xdr:from>
        <xdr:to>
          <xdr:col>11</xdr:col>
          <xdr:colOff>600075</xdr:colOff>
          <xdr:row>63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87</xdr:row>
          <xdr:rowOff>114300</xdr:rowOff>
        </xdr:from>
        <xdr:to>
          <xdr:col>7</xdr:col>
          <xdr:colOff>285750</xdr:colOff>
          <xdr:row>91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77</xdr:row>
          <xdr:rowOff>19050</xdr:rowOff>
        </xdr:from>
        <xdr:to>
          <xdr:col>7</xdr:col>
          <xdr:colOff>38100</xdr:colOff>
          <xdr:row>78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80</xdr:row>
          <xdr:rowOff>180975</xdr:rowOff>
        </xdr:from>
        <xdr:to>
          <xdr:col>9</xdr:col>
          <xdr:colOff>104775</xdr:colOff>
          <xdr:row>84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68</xdr:row>
          <xdr:rowOff>76200</xdr:rowOff>
        </xdr:from>
        <xdr:to>
          <xdr:col>9</xdr:col>
          <xdr:colOff>352425</xdr:colOff>
          <xdr:row>73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73</xdr:row>
          <xdr:rowOff>85725</xdr:rowOff>
        </xdr:from>
        <xdr:to>
          <xdr:col>8</xdr:col>
          <xdr:colOff>247650</xdr:colOff>
          <xdr:row>76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79</xdr:row>
          <xdr:rowOff>0</xdr:rowOff>
        </xdr:from>
        <xdr:to>
          <xdr:col>6</xdr:col>
          <xdr:colOff>552450</xdr:colOff>
          <xdr:row>80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114</xdr:row>
          <xdr:rowOff>76200</xdr:rowOff>
        </xdr:from>
        <xdr:to>
          <xdr:col>9</xdr:col>
          <xdr:colOff>219075</xdr:colOff>
          <xdr:row>119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119</xdr:row>
          <xdr:rowOff>123825</xdr:rowOff>
        </xdr:from>
        <xdr:to>
          <xdr:col>8</xdr:col>
          <xdr:colOff>66675</xdr:colOff>
          <xdr:row>122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104</xdr:row>
          <xdr:rowOff>171450</xdr:rowOff>
        </xdr:from>
        <xdr:to>
          <xdr:col>9</xdr:col>
          <xdr:colOff>171450</xdr:colOff>
          <xdr:row>109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109</xdr:row>
          <xdr:rowOff>161925</xdr:rowOff>
        </xdr:from>
        <xdr:to>
          <xdr:col>8</xdr:col>
          <xdr:colOff>180975</xdr:colOff>
          <xdr:row>113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124</xdr:row>
          <xdr:rowOff>76200</xdr:rowOff>
        </xdr:from>
        <xdr:to>
          <xdr:col>6</xdr:col>
          <xdr:colOff>485775</xdr:colOff>
          <xdr:row>125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126</xdr:row>
          <xdr:rowOff>66675</xdr:rowOff>
        </xdr:from>
        <xdr:to>
          <xdr:col>6</xdr:col>
          <xdr:colOff>381000</xdr:colOff>
          <xdr:row>127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128</xdr:row>
          <xdr:rowOff>38100</xdr:rowOff>
        </xdr:from>
        <xdr:to>
          <xdr:col>7</xdr:col>
          <xdr:colOff>66675</xdr:colOff>
          <xdr:row>131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80</xdr:row>
      <xdr:rowOff>171450</xdr:rowOff>
    </xdr:from>
    <xdr:to>
      <xdr:col>6</xdr:col>
      <xdr:colOff>472234</xdr:colOff>
      <xdr:row>84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132</xdr:row>
      <xdr:rowOff>76200</xdr:rowOff>
    </xdr:from>
    <xdr:to>
      <xdr:col>6</xdr:col>
      <xdr:colOff>300784</xdr:colOff>
      <xdr:row>135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124</xdr:row>
      <xdr:rowOff>114302</xdr:rowOff>
    </xdr:from>
    <xdr:to>
      <xdr:col>5</xdr:col>
      <xdr:colOff>19050</xdr:colOff>
      <xdr:row>134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48</xdr:row>
      <xdr:rowOff>19050</xdr:rowOff>
    </xdr:from>
    <xdr:to>
      <xdr:col>4</xdr:col>
      <xdr:colOff>514350</xdr:colOff>
      <xdr:row>48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61</xdr:row>
      <xdr:rowOff>47625</xdr:rowOff>
    </xdr:from>
    <xdr:to>
      <xdr:col>4</xdr:col>
      <xdr:colOff>447675</xdr:colOff>
      <xdr:row>62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50</xdr:row>
      <xdr:rowOff>104775</xdr:rowOff>
    </xdr:from>
    <xdr:to>
      <xdr:col>4</xdr:col>
      <xdr:colOff>266449</xdr:colOff>
      <xdr:row>57</xdr:row>
      <xdr:rowOff>161751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3550" y="9658350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5</xdr:row>
      <xdr:rowOff>0</xdr:rowOff>
    </xdr:from>
    <xdr:to>
      <xdr:col>39</xdr:col>
      <xdr:colOff>171450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911A5-490C-412B-89B0-273D993B4A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>
      <selection activeCell="I4" sqref="I4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84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81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82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83</v>
      </c>
      <c r="C14" s="20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64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90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4" t="s">
        <v>38</v>
      </c>
      <c r="C38" s="21">
        <f>Po_1*6.89476</f>
        <v>2757.904</v>
      </c>
      <c r="D38" t="s">
        <v>69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85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22" t="s">
        <v>91</v>
      </c>
      <c r="P44" s="4"/>
    </row>
    <row r="45" spans="2:16" x14ac:dyDescent="0.25">
      <c r="B45" s="3" t="s">
        <v>37</v>
      </c>
      <c r="C45">
        <v>1</v>
      </c>
      <c r="P45" s="4"/>
    </row>
    <row r="46" spans="2:16" x14ac:dyDescent="0.25">
      <c r="B46" s="3" t="s">
        <v>36</v>
      </c>
      <c r="C46" s="18">
        <f>f*L/D</f>
        <v>6.8000000000000007</v>
      </c>
      <c r="D46" t="s">
        <v>92</v>
      </c>
      <c r="P46" s="4"/>
    </row>
    <row r="47" spans="2:16" x14ac:dyDescent="0.25">
      <c r="B47" s="3" t="s">
        <v>40</v>
      </c>
      <c r="C47" s="14">
        <v>0.27282128954713225</v>
      </c>
      <c r="D47" s="15" t="s">
        <v>75</v>
      </c>
      <c r="E47" s="15"/>
      <c r="P47" s="4"/>
    </row>
    <row r="48" spans="2:16" x14ac:dyDescent="0.25">
      <c r="B48" s="3"/>
      <c r="P48" s="4"/>
    </row>
    <row r="49" spans="2:16" x14ac:dyDescent="0.25">
      <c r="B49" s="3" t="s">
        <v>36</v>
      </c>
      <c r="C49" s="18">
        <f>1/Gam*(1/M_1^2-1/M_2^2)+(Gam+1)/2/Gam*LN((M_1^2/M_2^2)*(1+M_2^2*(Gam-1)/2)/(1+M_1^2*(Gam-1)/2))</f>
        <v>6.7991299225754274</v>
      </c>
      <c r="P49" s="4"/>
    </row>
    <row r="50" spans="2:16" x14ac:dyDescent="0.25">
      <c r="B50" s="26" t="s">
        <v>80</v>
      </c>
      <c r="C50" s="10">
        <f>C46-C49</f>
        <v>8.7007742457334558E-4</v>
      </c>
      <c r="D50" s="25" t="s">
        <v>76</v>
      </c>
      <c r="P50" s="4"/>
    </row>
    <row r="51" spans="2:16" x14ac:dyDescent="0.25">
      <c r="B51" s="3"/>
      <c r="C51" s="10"/>
      <c r="P51" s="4"/>
    </row>
    <row r="52" spans="2:16" x14ac:dyDescent="0.25">
      <c r="B52" s="3"/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"/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/>
      <c r="P58" s="4"/>
    </row>
    <row r="59" spans="2:16" x14ac:dyDescent="0.25">
      <c r="B59" s="3"/>
      <c r="P59" s="4"/>
    </row>
    <row r="60" spans="2:16" x14ac:dyDescent="0.25">
      <c r="B60" s="3"/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 t="s">
        <v>20</v>
      </c>
      <c r="C63" s="5">
        <f>(Gam/Z/Rg)^0.5*M_1*(1+M_1^2*(Gam-1)/2)^(-(Gam+1)/2/(Gam-1))</f>
        <v>4.2277635905852179E-2</v>
      </c>
      <c r="D63" s="25" t="s">
        <v>95</v>
      </c>
      <c r="P63" s="4"/>
    </row>
    <row r="64" spans="2:16" x14ac:dyDescent="0.25">
      <c r="B64" s="3"/>
      <c r="P64" s="4"/>
    </row>
    <row r="65" spans="2:16" x14ac:dyDescent="0.25">
      <c r="B65" s="27" t="s">
        <v>9</v>
      </c>
      <c r="C65" s="11">
        <f>(Po_1/To_1^0.5)*gc^0.5*144*A*C63</f>
        <v>26.399289474278024</v>
      </c>
      <c r="D65" t="s">
        <v>11</v>
      </c>
      <c r="E65" t="s">
        <v>10</v>
      </c>
      <c r="I65" s="11"/>
      <c r="P65" s="4"/>
    </row>
    <row r="66" spans="2:16" x14ac:dyDescent="0.25">
      <c r="B66" s="24" t="s">
        <v>9</v>
      </c>
      <c r="C66" s="11">
        <f>mdot*0.45359</f>
        <v>11.97445371263777</v>
      </c>
      <c r="D66" t="s">
        <v>71</v>
      </c>
      <c r="I66" s="11"/>
      <c r="P66" s="4"/>
    </row>
    <row r="67" spans="2:16" x14ac:dyDescent="0.25">
      <c r="B67" s="26"/>
      <c r="C67" s="5"/>
      <c r="D67" s="25"/>
      <c r="P67" s="4"/>
    </row>
    <row r="68" spans="2:16" x14ac:dyDescent="0.25">
      <c r="B68" s="26"/>
      <c r="C68" s="5"/>
      <c r="D68" s="25"/>
      <c r="P68" s="4"/>
    </row>
    <row r="69" spans="2:16" x14ac:dyDescent="0.25">
      <c r="B69" s="3"/>
      <c r="P69" s="4"/>
    </row>
    <row r="70" spans="2:16" x14ac:dyDescent="0.25">
      <c r="B70" s="3" t="s">
        <v>41</v>
      </c>
      <c r="C70" s="10">
        <f>Po_1/(1+M_1^2*(Gam-1)/2)^(Gam/(Gam-1))</f>
        <v>379.83863759721538</v>
      </c>
      <c r="D70" t="s">
        <v>1</v>
      </c>
      <c r="P70" s="4"/>
    </row>
    <row r="71" spans="2:16" x14ac:dyDescent="0.25">
      <c r="B71" s="24" t="str">
        <f>B70</f>
        <v>P1</v>
      </c>
      <c r="C71" s="21">
        <f>P_1*6.89476</f>
        <v>2618.8962449597766</v>
      </c>
      <c r="D71" t="s">
        <v>69</v>
      </c>
      <c r="P71" s="4"/>
    </row>
    <row r="72" spans="2:16" x14ac:dyDescent="0.25">
      <c r="B72" s="3" t="s">
        <v>42</v>
      </c>
      <c r="C72" s="10">
        <f>To_1/(1+M_1^2*(Gam-1)/2)</f>
        <v>649.99400003333028</v>
      </c>
      <c r="D72" t="s">
        <v>21</v>
      </c>
      <c r="P72" s="4"/>
    </row>
    <row r="73" spans="2:16" x14ac:dyDescent="0.25">
      <c r="B73" s="3" t="s">
        <v>42</v>
      </c>
      <c r="C73" s="10">
        <f>C72-C8</f>
        <v>190.32400003333026</v>
      </c>
      <c r="D73" t="s">
        <v>2</v>
      </c>
      <c r="P73" s="4"/>
    </row>
    <row r="74" spans="2:16" x14ac:dyDescent="0.25">
      <c r="B74" s="24" t="str">
        <f>B73</f>
        <v>T1</v>
      </c>
      <c r="C74" s="21">
        <f>(C73+459.67)/1.8-273.15</f>
        <v>87.957777796294636</v>
      </c>
      <c r="D74" t="s">
        <v>85</v>
      </c>
      <c r="P74" s="4"/>
    </row>
    <row r="75" spans="2:16" x14ac:dyDescent="0.25">
      <c r="B75" s="3" t="s">
        <v>43</v>
      </c>
      <c r="C75" s="10">
        <f>P_1*144/Z/Rg/T_1</f>
        <v>1.5772242267123409</v>
      </c>
      <c r="D75" t="s">
        <v>26</v>
      </c>
      <c r="P75" s="4"/>
    </row>
    <row r="76" spans="2:16" x14ac:dyDescent="0.25">
      <c r="B76" s="24" t="str">
        <f>B75</f>
        <v>rho1</v>
      </c>
      <c r="C76" s="21">
        <f>rho_1*16.01846</f>
        <v>25.264703186622565</v>
      </c>
      <c r="D76" t="s">
        <v>86</v>
      </c>
      <c r="P76" s="4"/>
    </row>
    <row r="77" spans="2:16" x14ac:dyDescent="0.25">
      <c r="B77" s="3" t="s">
        <v>44</v>
      </c>
      <c r="C77" s="11">
        <f>mdot/rho_1/A</f>
        <v>340.97999502962898</v>
      </c>
      <c r="D77" t="s">
        <v>25</v>
      </c>
      <c r="P77" s="4"/>
    </row>
    <row r="78" spans="2:16" x14ac:dyDescent="0.25">
      <c r="B78" s="24" t="str">
        <f>B77</f>
        <v>V1</v>
      </c>
      <c r="C78" s="21">
        <f>V_1/3.28</f>
        <v>103.95731555781371</v>
      </c>
      <c r="D78" t="s">
        <v>87</v>
      </c>
      <c r="P78" s="4"/>
    </row>
    <row r="79" spans="2:16" x14ac:dyDescent="0.25">
      <c r="B79" s="3" t="s">
        <v>77</v>
      </c>
      <c r="C79" s="11">
        <f>V_1/M_1</f>
        <v>1249.8291302545938</v>
      </c>
      <c r="D79" t="s">
        <v>32</v>
      </c>
      <c r="P79" s="4"/>
    </row>
    <row r="80" spans="2:16" x14ac:dyDescent="0.25">
      <c r="B80" s="24" t="str">
        <f>B79</f>
        <v>c1</v>
      </c>
      <c r="C80" s="21">
        <f>c_1/3.28</f>
        <v>381.04546654103473</v>
      </c>
      <c r="D80" t="s">
        <v>88</v>
      </c>
      <c r="P80" s="4"/>
    </row>
    <row r="81" spans="2:16" x14ac:dyDescent="0.25">
      <c r="B81" s="3"/>
      <c r="P81" s="4"/>
    </row>
    <row r="82" spans="2:16" x14ac:dyDescent="0.25">
      <c r="B82" s="3"/>
      <c r="P82" s="4"/>
    </row>
    <row r="83" spans="2:16" x14ac:dyDescent="0.25">
      <c r="B83" s="3"/>
      <c r="P83" s="4"/>
    </row>
    <row r="84" spans="2:16" x14ac:dyDescent="0.25">
      <c r="B84" s="3"/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 t="s">
        <v>45</v>
      </c>
      <c r="C87" s="10">
        <f>cp*(T_1)</f>
        <v>159.24853000816591</v>
      </c>
      <c r="D87" t="s">
        <v>29</v>
      </c>
      <c r="E87" s="12" t="s">
        <v>89</v>
      </c>
      <c r="P87" s="4"/>
    </row>
    <row r="88" spans="2:16" x14ac:dyDescent="0.25">
      <c r="B88" s="24" t="str">
        <f>B87</f>
        <v>h1</v>
      </c>
      <c r="C88" s="21">
        <f>h_1*2.32442</f>
        <v>370.160468121581</v>
      </c>
      <c r="D88" t="s">
        <v>70</v>
      </c>
      <c r="E88" s="12"/>
      <c r="P88" s="4"/>
    </row>
    <row r="89" spans="2:16" x14ac:dyDescent="0.25">
      <c r="B89" s="3" t="s">
        <v>46</v>
      </c>
      <c r="C89" s="10">
        <f>h_1+0.5*V_1^2/C10/gc</f>
        <v>161.57045541235274</v>
      </c>
      <c r="D89" t="s">
        <v>29</v>
      </c>
      <c r="P89" s="4"/>
    </row>
    <row r="90" spans="2:16" x14ac:dyDescent="0.25">
      <c r="B90" s="24" t="str">
        <f>B89</f>
        <v>ho1</v>
      </c>
      <c r="C90" s="21">
        <f>ho_1*2.32442</f>
        <v>375.55759796958097</v>
      </c>
      <c r="D90" t="s">
        <v>70</v>
      </c>
      <c r="P90" s="4"/>
    </row>
    <row r="91" spans="2:16" x14ac:dyDescent="0.25">
      <c r="B91" s="3"/>
      <c r="P91" s="4"/>
    </row>
    <row r="92" spans="2:16" ht="15.75" thickBot="1" x14ac:dyDescent="0.3">
      <c r="B92" s="6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8"/>
    </row>
    <row r="94" spans="2:16" ht="15.75" thickBot="1" x14ac:dyDescent="0.3"/>
    <row r="95" spans="2:16" x14ac:dyDescent="0.25">
      <c r="B95" s="13" t="s">
        <v>24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2"/>
    </row>
    <row r="96" spans="2:16" x14ac:dyDescent="0.25">
      <c r="B96" s="3"/>
      <c r="P96" s="4"/>
    </row>
    <row r="97" spans="2:16" x14ac:dyDescent="0.25">
      <c r="B97" s="3"/>
      <c r="P97" s="4"/>
    </row>
    <row r="98" spans="2:16" x14ac:dyDescent="0.25">
      <c r="B98" s="3"/>
      <c r="P98" s="4"/>
    </row>
    <row r="99" spans="2:16" x14ac:dyDescent="0.25">
      <c r="B99" s="3" t="s">
        <v>93</v>
      </c>
      <c r="P99" s="4"/>
    </row>
    <row r="100" spans="2:16" x14ac:dyDescent="0.25">
      <c r="B100" s="3" t="s">
        <v>47</v>
      </c>
      <c r="C100" s="10">
        <f>ho_1</f>
        <v>161.57045541235274</v>
      </c>
      <c r="D100" t="s">
        <v>29</v>
      </c>
      <c r="P100" s="4"/>
    </row>
    <row r="101" spans="2:16" x14ac:dyDescent="0.25">
      <c r="B101" s="24" t="str">
        <f>B100</f>
        <v>ho2</v>
      </c>
      <c r="C101" s="21">
        <f>ho_2*2.32442</f>
        <v>375.55759796958097</v>
      </c>
      <c r="D101" t="s">
        <v>70</v>
      </c>
      <c r="P101" s="4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 t="s">
        <v>94</v>
      </c>
      <c r="P104" s="4"/>
    </row>
    <row r="105" spans="2:16" x14ac:dyDescent="0.25">
      <c r="B105" s="3" t="s">
        <v>48</v>
      </c>
      <c r="P105" s="4"/>
    </row>
    <row r="106" spans="2:16" x14ac:dyDescent="0.25">
      <c r="B106" s="3"/>
      <c r="P106" s="4"/>
    </row>
    <row r="107" spans="2:16" x14ac:dyDescent="0.25">
      <c r="B107" s="3" t="s">
        <v>49</v>
      </c>
      <c r="C107" s="11">
        <f>P_1*M_1/M_2*((2+M_1^2*(Gam-1))/(2+M_2^2*(Gam-1)))^0.5</f>
        <v>95.300563158518216</v>
      </c>
      <c r="D107" t="s">
        <v>1</v>
      </c>
      <c r="P107" s="4"/>
    </row>
    <row r="108" spans="2:16" x14ac:dyDescent="0.25">
      <c r="B108" s="24" t="str">
        <f>B107</f>
        <v>P2</v>
      </c>
      <c r="C108" s="21">
        <f>P_2*6.89476</f>
        <v>657.07451084282502</v>
      </c>
      <c r="D108" t="s">
        <v>69</v>
      </c>
      <c r="P108" s="4"/>
    </row>
    <row r="109" spans="2:16" x14ac:dyDescent="0.25">
      <c r="B109" s="3" t="s">
        <v>50</v>
      </c>
      <c r="C109" s="11">
        <f>T_1*((2+M_1^2*(Gam-1))/(2+M_2^2*(Gam-1)))</f>
        <v>549.72500000000002</v>
      </c>
      <c r="D109" t="s">
        <v>21</v>
      </c>
      <c r="P109" s="4"/>
    </row>
    <row r="110" spans="2:16" x14ac:dyDescent="0.25">
      <c r="B110" s="3" t="s">
        <v>50</v>
      </c>
      <c r="C110" s="11">
        <f>C109-C8</f>
        <v>90.055000000000007</v>
      </c>
      <c r="D110" t="s">
        <v>2</v>
      </c>
      <c r="P110" s="4"/>
    </row>
    <row r="111" spans="2:16" x14ac:dyDescent="0.25">
      <c r="B111" s="24" t="str">
        <f>B110</f>
        <v>T2</v>
      </c>
      <c r="C111" s="21">
        <f>(C110+459.67)/1.8-273.15</f>
        <v>32.252777777777794</v>
      </c>
      <c r="D111" t="s">
        <v>85</v>
      </c>
      <c r="P111" s="4"/>
    </row>
    <row r="112" spans="2:16" x14ac:dyDescent="0.25">
      <c r="B112" s="3" t="s">
        <v>51</v>
      </c>
      <c r="C112" s="11">
        <f>P_2*((1+M_2^2*(Gam-1)/2))^(Gam/(Gam-1))</f>
        <v>180.39721484689761</v>
      </c>
      <c r="D112" t="s">
        <v>1</v>
      </c>
      <c r="P112" s="4"/>
    </row>
    <row r="113" spans="2:16" x14ac:dyDescent="0.25">
      <c r="B113" s="24" t="str">
        <f>B112</f>
        <v>Po2</v>
      </c>
      <c r="C113" s="21">
        <f>Po_2*6.89476</f>
        <v>1243.7955010377957</v>
      </c>
      <c r="D113" t="s">
        <v>69</v>
      </c>
      <c r="P113" s="4"/>
    </row>
    <row r="114" spans="2:16" x14ac:dyDescent="0.25">
      <c r="B114" s="3" t="s">
        <v>52</v>
      </c>
      <c r="C114" s="11">
        <f>T_2*((1+M_2^2*(Gam-1)/2))</f>
        <v>659.67</v>
      </c>
      <c r="D114" t="s">
        <v>21</v>
      </c>
      <c r="P114" s="4"/>
    </row>
    <row r="115" spans="2:16" x14ac:dyDescent="0.25">
      <c r="B115" s="3" t="s">
        <v>52</v>
      </c>
      <c r="C115" s="11">
        <f>C114-C8</f>
        <v>199.99999999999994</v>
      </c>
      <c r="D115" t="s">
        <v>2</v>
      </c>
      <c r="J115" s="19"/>
      <c r="P115" s="4"/>
    </row>
    <row r="116" spans="2:16" x14ac:dyDescent="0.25">
      <c r="B116" s="24" t="str">
        <f>B115</f>
        <v>To2</v>
      </c>
      <c r="C116" s="21">
        <f>(C115+459.67)/1.8-273.15</f>
        <v>93.333333333333314</v>
      </c>
      <c r="D116" t="s">
        <v>85</v>
      </c>
      <c r="P116" s="4"/>
    </row>
    <row r="117" spans="2:16" x14ac:dyDescent="0.25">
      <c r="B117" s="3"/>
      <c r="P117" s="4"/>
    </row>
    <row r="118" spans="2:16" x14ac:dyDescent="0.25">
      <c r="B118" s="3" t="s">
        <v>53</v>
      </c>
      <c r="C118" s="9">
        <f>P_2*144/Z/Rg/T_2</f>
        <v>0.4679006264591265</v>
      </c>
      <c r="D118" t="s">
        <v>26</v>
      </c>
      <c r="P118" s="4"/>
    </row>
    <row r="119" spans="2:16" x14ac:dyDescent="0.25">
      <c r="B119" s="24" t="str">
        <f>B118</f>
        <v>rho2</v>
      </c>
      <c r="C119" s="21">
        <f>rho_2*16.01846</f>
        <v>7.4950474689104603</v>
      </c>
      <c r="D119" t="s">
        <v>86</v>
      </c>
      <c r="P119" s="4"/>
    </row>
    <row r="120" spans="2:16" x14ac:dyDescent="0.25">
      <c r="B120" s="3" t="s">
        <v>54</v>
      </c>
      <c r="C120" s="11">
        <f>mdot/rho_2/A</f>
        <v>1149.3934364970639</v>
      </c>
      <c r="D120" t="s">
        <v>25</v>
      </c>
      <c r="P120" s="4"/>
    </row>
    <row r="121" spans="2:16" x14ac:dyDescent="0.25">
      <c r="B121" s="24" t="str">
        <f>B120</f>
        <v>V2</v>
      </c>
      <c r="C121" s="21">
        <f>V_2/3.28</f>
        <v>350.42482820032438</v>
      </c>
      <c r="D121" t="s">
        <v>87</v>
      </c>
      <c r="P121" s="4"/>
    </row>
    <row r="122" spans="2:16" x14ac:dyDescent="0.25">
      <c r="B122" s="3"/>
      <c r="P122" s="4"/>
    </row>
    <row r="123" spans="2:16" x14ac:dyDescent="0.25">
      <c r="B123" s="3" t="s">
        <v>55</v>
      </c>
      <c r="C123" s="17">
        <f>ho_2-0.5*V_2^2/C10/gc</f>
        <v>135.18722996354336</v>
      </c>
      <c r="D123" t="s">
        <v>29</v>
      </c>
      <c r="P123" s="4"/>
    </row>
    <row r="124" spans="2:16" x14ac:dyDescent="0.25">
      <c r="B124" s="24" t="str">
        <f>B123</f>
        <v>h2</v>
      </c>
      <c r="C124" s="21">
        <f>h_2*2.32442</f>
        <v>314.23190107185945</v>
      </c>
      <c r="D124" t="s">
        <v>70</v>
      </c>
      <c r="P124" s="4"/>
    </row>
    <row r="125" spans="2:16" x14ac:dyDescent="0.25">
      <c r="B125" s="3" t="s">
        <v>78</v>
      </c>
      <c r="C125" s="11">
        <f>V_2/M_2</f>
        <v>1149.3934364970639</v>
      </c>
      <c r="D125" t="s">
        <v>25</v>
      </c>
      <c r="P125" s="4"/>
    </row>
    <row r="126" spans="2:16" x14ac:dyDescent="0.25">
      <c r="B126" s="24" t="str">
        <f>B125</f>
        <v>c2</v>
      </c>
      <c r="C126" s="21">
        <f>c_2/3.28</f>
        <v>350.42482820032438</v>
      </c>
      <c r="D126" t="s">
        <v>88</v>
      </c>
      <c r="P126" s="4"/>
    </row>
    <row r="127" spans="2:16" x14ac:dyDescent="0.25">
      <c r="B127" s="3"/>
      <c r="P127" s="4"/>
    </row>
    <row r="128" spans="2:16" x14ac:dyDescent="0.25">
      <c r="B128" s="3"/>
      <c r="P128" s="4"/>
    </row>
    <row r="129" spans="2:16" x14ac:dyDescent="0.25">
      <c r="B129" s="3"/>
      <c r="P129" s="4"/>
    </row>
    <row r="130" spans="2:16" x14ac:dyDescent="0.25">
      <c r="B130" s="3"/>
      <c r="P130" s="4"/>
    </row>
    <row r="131" spans="2:16" x14ac:dyDescent="0.25">
      <c r="B131" s="3"/>
      <c r="P131" s="4"/>
    </row>
    <row r="132" spans="2:16" x14ac:dyDescent="0.25">
      <c r="B132" s="3"/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ht="15.75" thickBot="1" x14ac:dyDescent="0.3">
      <c r="B137" s="6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63</xdr:row>
                <xdr:rowOff>95250</xdr:rowOff>
              </from>
              <to>
                <xdr:col>8</xdr:col>
                <xdr:colOff>495300</xdr:colOff>
                <xdr:row>67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59</xdr:row>
                <xdr:rowOff>57150</xdr:rowOff>
              </from>
              <to>
                <xdr:col>11</xdr:col>
                <xdr:colOff>600075</xdr:colOff>
                <xdr:row>63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87</xdr:row>
                <xdr:rowOff>114300</xdr:rowOff>
              </from>
              <to>
                <xdr:col>7</xdr:col>
                <xdr:colOff>285750</xdr:colOff>
                <xdr:row>91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77</xdr:row>
                <xdr:rowOff>19050</xdr:rowOff>
              </from>
              <to>
                <xdr:col>7</xdr:col>
                <xdr:colOff>38100</xdr:colOff>
                <xdr:row>78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80</xdr:row>
                <xdr:rowOff>180975</xdr:rowOff>
              </from>
              <to>
                <xdr:col>9</xdr:col>
                <xdr:colOff>104775</xdr:colOff>
                <xdr:row>84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68</xdr:row>
                <xdr:rowOff>76200</xdr:rowOff>
              </from>
              <to>
                <xdr:col>9</xdr:col>
                <xdr:colOff>352425</xdr:colOff>
                <xdr:row>73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73</xdr:row>
                <xdr:rowOff>85725</xdr:rowOff>
              </from>
              <to>
                <xdr:col>8</xdr:col>
                <xdr:colOff>247650</xdr:colOff>
                <xdr:row>76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79</xdr:row>
                <xdr:rowOff>0</xdr:rowOff>
              </from>
              <to>
                <xdr:col>6</xdr:col>
                <xdr:colOff>552450</xdr:colOff>
                <xdr:row>80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114</xdr:row>
                <xdr:rowOff>76200</xdr:rowOff>
              </from>
              <to>
                <xdr:col>9</xdr:col>
                <xdr:colOff>219075</xdr:colOff>
                <xdr:row>119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119</xdr:row>
                <xdr:rowOff>123825</xdr:rowOff>
              </from>
              <to>
                <xdr:col>8</xdr:col>
                <xdr:colOff>66675</xdr:colOff>
                <xdr:row>122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104</xdr:row>
                <xdr:rowOff>171450</xdr:rowOff>
              </from>
              <to>
                <xdr:col>9</xdr:col>
                <xdr:colOff>171450</xdr:colOff>
                <xdr:row>109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109</xdr:row>
                <xdr:rowOff>161925</xdr:rowOff>
              </from>
              <to>
                <xdr:col>8</xdr:col>
                <xdr:colOff>180975</xdr:colOff>
                <xdr:row>113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124</xdr:row>
                <xdr:rowOff>76200</xdr:rowOff>
              </from>
              <to>
                <xdr:col>6</xdr:col>
                <xdr:colOff>485775</xdr:colOff>
                <xdr:row>125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126</xdr:row>
                <xdr:rowOff>66675</xdr:rowOff>
              </from>
              <to>
                <xdr:col>6</xdr:col>
                <xdr:colOff>381000</xdr:colOff>
                <xdr:row>127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128</xdr:row>
                <xdr:rowOff>38100</xdr:rowOff>
              </from>
              <to>
                <xdr:col>7</xdr:col>
                <xdr:colOff>66675</xdr:colOff>
                <xdr:row>131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5929-8D8B-4FF3-A085-9702D8DDF2F8}">
  <dimension ref="A3:AG135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5" sqref="F5"/>
    </sheetView>
  </sheetViews>
  <sheetFormatPr defaultRowHeight="15" x14ac:dyDescent="0.25"/>
  <sheetData>
    <row r="3" spans="2:33" x14ac:dyDescent="0.25">
      <c r="B3" s="28" t="s">
        <v>16</v>
      </c>
      <c r="C3" s="28" t="s">
        <v>96</v>
      </c>
      <c r="D3" s="28" t="s">
        <v>97</v>
      </c>
      <c r="E3" s="28" t="s">
        <v>97</v>
      </c>
      <c r="F3" s="28" t="s">
        <v>98</v>
      </c>
      <c r="G3" s="28" t="s">
        <v>20</v>
      </c>
      <c r="H3" s="28" t="s">
        <v>99</v>
      </c>
      <c r="I3" s="28" t="s">
        <v>99</v>
      </c>
      <c r="J3" s="28" t="s">
        <v>100</v>
      </c>
      <c r="K3" s="28" t="s">
        <v>100</v>
      </c>
      <c r="L3" s="28" t="s">
        <v>68</v>
      </c>
      <c r="M3" s="28" t="s">
        <v>68</v>
      </c>
      <c r="N3" s="28" t="s">
        <v>68</v>
      </c>
      <c r="O3" s="28" t="s">
        <v>68</v>
      </c>
      <c r="P3" s="28" t="s">
        <v>101</v>
      </c>
      <c r="Q3" s="28" t="s">
        <v>101</v>
      </c>
      <c r="R3" s="28" t="s">
        <v>101</v>
      </c>
      <c r="S3" s="28" t="s">
        <v>101</v>
      </c>
      <c r="T3" s="28" t="s">
        <v>102</v>
      </c>
      <c r="U3" s="28" t="s">
        <v>102</v>
      </c>
      <c r="V3" s="28" t="s">
        <v>67</v>
      </c>
      <c r="W3" s="28" t="s">
        <v>67</v>
      </c>
      <c r="X3" s="28" t="s">
        <v>103</v>
      </c>
      <c r="Y3" s="28" t="s">
        <v>103</v>
      </c>
      <c r="AA3" s="29" t="s">
        <v>104</v>
      </c>
      <c r="AB3" s="29" t="s">
        <v>98</v>
      </c>
      <c r="AC3" s="29" t="s">
        <v>105</v>
      </c>
      <c r="AD3" s="29" t="s">
        <v>106</v>
      </c>
      <c r="AE3" s="29" t="s">
        <v>107</v>
      </c>
      <c r="AF3" s="29" t="s">
        <v>108</v>
      </c>
      <c r="AG3" s="29" t="s">
        <v>109</v>
      </c>
    </row>
    <row r="4" spans="2:33" x14ac:dyDescent="0.25">
      <c r="B4" s="28" t="s">
        <v>110</v>
      </c>
      <c r="C4" s="28" t="s">
        <v>15</v>
      </c>
      <c r="D4" s="28" t="s">
        <v>15</v>
      </c>
      <c r="E4" s="28" t="s">
        <v>58</v>
      </c>
      <c r="F4" s="28"/>
      <c r="G4" s="28" t="s">
        <v>111</v>
      </c>
      <c r="H4" s="28" t="s">
        <v>1</v>
      </c>
      <c r="I4" s="28" t="s">
        <v>69</v>
      </c>
      <c r="J4" s="28" t="s">
        <v>1</v>
      </c>
      <c r="K4" s="28" t="s">
        <v>69</v>
      </c>
      <c r="L4" s="28" t="s">
        <v>21</v>
      </c>
      <c r="M4" s="28" t="s">
        <v>112</v>
      </c>
      <c r="N4" s="28" t="s">
        <v>2</v>
      </c>
      <c r="O4" s="28" t="s">
        <v>85</v>
      </c>
      <c r="P4" s="28" t="s">
        <v>21</v>
      </c>
      <c r="Q4" s="28" t="s">
        <v>112</v>
      </c>
      <c r="R4" s="28" t="s">
        <v>2</v>
      </c>
      <c r="S4" s="28" t="s">
        <v>85</v>
      </c>
      <c r="T4" s="28" t="s">
        <v>113</v>
      </c>
      <c r="U4" s="28" t="s">
        <v>86</v>
      </c>
      <c r="V4" s="28" t="s">
        <v>25</v>
      </c>
      <c r="W4" s="28" t="s">
        <v>87</v>
      </c>
      <c r="X4" s="28" t="s">
        <v>25</v>
      </c>
      <c r="Y4" s="28" t="s">
        <v>87</v>
      </c>
      <c r="AA4" s="29"/>
      <c r="AB4" s="29"/>
      <c r="AC4" s="29"/>
      <c r="AD4" s="29"/>
      <c r="AE4" s="29"/>
      <c r="AF4" s="29"/>
      <c r="AG4" s="29"/>
    </row>
    <row r="5" spans="2:33" x14ac:dyDescent="0.25">
      <c r="C5">
        <f>D/f</f>
        <v>14.705882352941176</v>
      </c>
      <c r="D5">
        <v>0</v>
      </c>
      <c r="E5">
        <f>D5/3.28</f>
        <v>0</v>
      </c>
      <c r="F5">
        <f>M_1</f>
        <v>0.27282128954713225</v>
      </c>
      <c r="G5">
        <f>(Gam/Z/Rg)^0.5*F5*(1+F5^2*(Gam-1)/2)^(-(Gam+1)/2/(Gam-1))</f>
        <v>4.2277635905852179E-2</v>
      </c>
      <c r="H5">
        <f>P_1</f>
        <v>379.83863759721538</v>
      </c>
      <c r="I5" s="21">
        <f>H5*6.89476</f>
        <v>2618.8962449597766</v>
      </c>
      <c r="J5">
        <f>Po_1</f>
        <v>400</v>
      </c>
      <c r="K5" s="21">
        <f>J5*6.89476</f>
        <v>2757.904</v>
      </c>
      <c r="L5">
        <f>T_1</f>
        <v>649.99400003333028</v>
      </c>
      <c r="M5">
        <f>L5/1.8</f>
        <v>361.10777779629461</v>
      </c>
      <c r="N5">
        <f>L5-'Example 7.1 - Pipe P1'!$C$8</f>
        <v>190.32400003333026</v>
      </c>
      <c r="O5">
        <f>M5-'Example 7.1 - Pipe P1'!$C$9</f>
        <v>87.957777796294636</v>
      </c>
      <c r="P5">
        <f>To_1</f>
        <v>659.67000000000007</v>
      </c>
      <c r="Q5">
        <f>P5/1.8</f>
        <v>366.48333333333335</v>
      </c>
      <c r="R5">
        <f>P5-'Example 7.1 - Pipe P1'!$C$8</f>
        <v>200.00000000000006</v>
      </c>
      <c r="S5">
        <f>Q5-'Example 7.1 - Pipe P1'!$C$9</f>
        <v>93.333333333333371</v>
      </c>
      <c r="T5">
        <f>rho_1</f>
        <v>1.5772242267123409</v>
      </c>
      <c r="U5">
        <f>T5*16.01846</f>
        <v>25.264703186622565</v>
      </c>
      <c r="V5">
        <f>(Gam*H5/T5*gc*144)^0.5</f>
        <v>1249.829130254594</v>
      </c>
      <c r="W5">
        <f>V5/3.28</f>
        <v>381.04546654103478</v>
      </c>
      <c r="X5">
        <f>F5*V5</f>
        <v>340.97999502962904</v>
      </c>
      <c r="Y5">
        <f>X5/3.28</f>
        <v>103.95731555781374</v>
      </c>
      <c r="AA5">
        <f>D5/$D$131</f>
        <v>0</v>
      </c>
      <c r="AB5">
        <f>F5</f>
        <v>0.27282128954713225</v>
      </c>
      <c r="AC5">
        <f>H5/$H$5</f>
        <v>1</v>
      </c>
      <c r="AD5">
        <f>J5/$J$5</f>
        <v>1</v>
      </c>
      <c r="AE5">
        <f>L5/$L$5</f>
        <v>1</v>
      </c>
      <c r="AF5">
        <f>T5/$T$5</f>
        <v>1</v>
      </c>
      <c r="AG5">
        <f>X5/$X$5</f>
        <v>1</v>
      </c>
    </row>
    <row r="6" spans="2:33" x14ac:dyDescent="0.25">
      <c r="C6">
        <f>D/f</f>
        <v>14.705882352941176</v>
      </c>
      <c r="D6">
        <f>(1/Gam*(1/M_1^2-1/F6^2)+(Gam+1)/2/Gam*LN((M_1^2/F6^2)*(1+F6^2*(Gam-1)/2)/(1+M_1^2*(Gam-1)/2)))*D/f</f>
        <v>8.9097015460499893</v>
      </c>
      <c r="E6">
        <f>D6/3.28</f>
        <v>2.7163724225762165</v>
      </c>
      <c r="F6">
        <f>F5+0.01</f>
        <v>0.28282128954713226</v>
      </c>
      <c r="G6">
        <f>(Gam/Z/Rg)^0.5*F6*(1+F6^2*(Gam-1)/2)^(-(Gam+1)/2/(Gam-1))</f>
        <v>4.3683625764949538E-2</v>
      </c>
      <c r="H6">
        <f>J6/(1+(Gam-1)/2*F6^2)^(Gam/(Gam-1))</f>
        <v>366.20785536326321</v>
      </c>
      <c r="I6" s="21">
        <f>H6*6.89476</f>
        <v>2524.9152728444124</v>
      </c>
      <c r="J6">
        <f>mdot*P6^0.5/A/G6/gc^0.5/144</f>
        <v>387.12570365232369</v>
      </c>
      <c r="K6" s="21">
        <f>J6*6.89476</f>
        <v>2669.1388165138951</v>
      </c>
      <c r="L6">
        <f>P6/(1+(Gam-1)/2*F6^2)</f>
        <v>649.28304490710502</v>
      </c>
      <c r="M6">
        <f>L6/1.8</f>
        <v>360.71280272616946</v>
      </c>
      <c r="N6">
        <f>L6-'Example 7.1 - Pipe P1'!$C$8</f>
        <v>189.61304490710501</v>
      </c>
      <c r="O6">
        <f>M6-'Example 7.1 - Pipe P1'!$C$9</f>
        <v>87.56280272616948</v>
      </c>
      <c r="P6">
        <f>P5</f>
        <v>659.67000000000007</v>
      </c>
      <c r="Q6">
        <f>Q5</f>
        <v>366.48333333333335</v>
      </c>
      <c r="R6">
        <f>P6-'Example 7.1 - Pipe P1'!$C$8</f>
        <v>200.00000000000006</v>
      </c>
      <c r="S6">
        <f>Q6-'Example 7.1 - Pipe P1'!$C$9</f>
        <v>93.333333333333371</v>
      </c>
      <c r="T6">
        <f>H6/L6/Rg/Z*144</f>
        <v>1.5222894636421909</v>
      </c>
      <c r="U6">
        <f>T6*16.01846</f>
        <v>24.384732881773889</v>
      </c>
      <c r="V6">
        <f>(Gam*H6/T6*gc*144)^0.5</f>
        <v>1249.145419683975</v>
      </c>
      <c r="W6">
        <f>V6/3.28</f>
        <v>380.83701819633387</v>
      </c>
      <c r="X6">
        <f>F6*V6</f>
        <v>353.28491842691551</v>
      </c>
      <c r="Y6">
        <f>X6/3.28</f>
        <v>107.70881659357181</v>
      </c>
      <c r="AA6">
        <f>D6/$D$131</f>
        <v>7.1275523388556708E-2</v>
      </c>
      <c r="AB6">
        <f>F6</f>
        <v>0.28282128954713226</v>
      </c>
      <c r="AC6">
        <f>H6/$H$5</f>
        <v>0.96411428200096272</v>
      </c>
      <c r="AD6">
        <f>J6/$J$5</f>
        <v>0.96781425913080921</v>
      </c>
      <c r="AE6">
        <f>L6/$L$5</f>
        <v>0.9989062127862891</v>
      </c>
      <c r="AF6">
        <f>T6/$T$5</f>
        <v>0.9651699725760241</v>
      </c>
      <c r="AG6">
        <f>X6/$X$5</f>
        <v>1.0360869364087393</v>
      </c>
    </row>
    <row r="7" spans="2:33" x14ac:dyDescent="0.25">
      <c r="C7">
        <f>D/f</f>
        <v>14.705882352941176</v>
      </c>
      <c r="D7">
        <f>(1/Gam*(1/M_1^2-1/F7^2)+(Gam+1)/2/Gam*LN((M_1^2/F7^2)*(1+F7^2*(Gam-1)/2)/(1+M_1^2*(Gam-1)/2)))*D/f</f>
        <v>16.8642973712426</v>
      </c>
      <c r="E7">
        <f>D7/3.28</f>
        <v>5.1415540765983536</v>
      </c>
      <c r="F7">
        <f>F6+0.01</f>
        <v>0.29282128954713227</v>
      </c>
      <c r="G7">
        <f>(Gam/Z/Rg)^0.5*F7*(1+F7^2*(Gam-1)/2)^(-(Gam+1)/2/(Gam-1))</f>
        <v>4.5074787966352392E-2</v>
      </c>
      <c r="H7">
        <f>J7/(1+(Gam-1)/2*F7^2)^(Gam/(Gam-1))</f>
        <v>353.5014361306267</v>
      </c>
      <c r="I7" s="21">
        <f>H7*6.89476</f>
        <v>2437.3075617759996</v>
      </c>
      <c r="J7">
        <f>mdot*P7^0.5/A/G7/gc^0.5/144</f>
        <v>375.17767970344534</v>
      </c>
      <c r="K7" s="21">
        <f>J7*6.89476</f>
        <v>2586.7600589121266</v>
      </c>
      <c r="L7">
        <f>P7/(1+(Gam-1)/2*F7^2)</f>
        <v>648.54813779434846</v>
      </c>
      <c r="M7">
        <f>L7/1.8</f>
        <v>360.30452099686028</v>
      </c>
      <c r="N7">
        <f>L7-'Example 7.1 - Pipe P1'!$C$8</f>
        <v>188.87813779434845</v>
      </c>
      <c r="O7">
        <f>M7-'Example 7.1 - Pipe P1'!$C$9</f>
        <v>87.154520996860299</v>
      </c>
      <c r="P7">
        <f>P6</f>
        <v>659.67000000000007</v>
      </c>
      <c r="Q7">
        <f>Q6</f>
        <v>366.48333333333335</v>
      </c>
      <c r="R7">
        <f>P7-'Example 7.1 - Pipe P1'!$C$8</f>
        <v>200.00000000000006</v>
      </c>
      <c r="S7">
        <f>Q7-'Example 7.1 - Pipe P1'!$C$9</f>
        <v>93.333333333333371</v>
      </c>
      <c r="T7">
        <f>H7/L7/Rg/Z*144</f>
        <v>1.4711352894569611</v>
      </c>
      <c r="U7">
        <f>T7*16.01846</f>
        <v>23.565321788754755</v>
      </c>
      <c r="V7">
        <f>(Gam*H7/T7*gc*144)^0.5</f>
        <v>1248.4382814219846</v>
      </c>
      <c r="W7">
        <f>V7/3.28</f>
        <v>380.62142726280018</v>
      </c>
      <c r="X7">
        <f>F7*V7</f>
        <v>365.56930748599115</v>
      </c>
      <c r="Y7">
        <f>X7/3.28</f>
        <v>111.45405716036316</v>
      </c>
      <c r="AA7">
        <f>D7/$D$131</f>
        <v>0.13491042494554431</v>
      </c>
      <c r="AB7">
        <f>F7</f>
        <v>0.29282128954713227</v>
      </c>
      <c r="AC7">
        <f>H7/$H$5</f>
        <v>0.9306621316009539</v>
      </c>
      <c r="AD7">
        <f>J7/$J$5</f>
        <v>0.93794419925861339</v>
      </c>
      <c r="AE7">
        <f>L7/$L$5</f>
        <v>0.9977755760223822</v>
      </c>
      <c r="AF7">
        <f>T7/$T$5</f>
        <v>0.93273693400175717</v>
      </c>
      <c r="AG7">
        <f>X7/$X$5</f>
        <v>1.0721136512839278</v>
      </c>
    </row>
    <row r="8" spans="2:33" x14ac:dyDescent="0.25">
      <c r="C8">
        <f>D/f</f>
        <v>14.705882352941176</v>
      </c>
      <c r="D8">
        <f>(1/Gam*(1/M_1^2-1/F8^2)+(Gam+1)/2/Gam*LN((M_1^2/F8^2)*(1+F8^2*(Gam-1)/2)/(1+M_1^2*(Gam-1)/2)))*D/f</f>
        <v>23.989879277404157</v>
      </c>
      <c r="E8">
        <f>D8/3.28</f>
        <v>7.3139875845744386</v>
      </c>
      <c r="F8">
        <f>F7+0.01</f>
        <v>0.30282128954713228</v>
      </c>
      <c r="G8">
        <f>(Gam/Z/Rg)^0.5*F8*(1+F8^2*(Gam-1)/2)^(-(Gam+1)/2/(Gam-1))</f>
        <v>4.6450715007213927E-2</v>
      </c>
      <c r="H8">
        <f>J8/(1+(Gam-1)/2*F8^2)^(Gam/(Gam-1))</f>
        <v>341.62783814893419</v>
      </c>
      <c r="I8" s="21">
        <f>H8*6.89476</f>
        <v>2355.4419533557452</v>
      </c>
      <c r="J8">
        <f>mdot*P8^0.5/A/G8/gc^0.5/144</f>
        <v>364.06445755925472</v>
      </c>
      <c r="K8" s="21">
        <f>J8*6.89476</f>
        <v>2510.1370594012469</v>
      </c>
      <c r="L8">
        <f>P8/(1+(Gam-1)/2*F8^2)</f>
        <v>647.78944653245173</v>
      </c>
      <c r="M8">
        <f>L8/1.8</f>
        <v>359.88302585136205</v>
      </c>
      <c r="N8">
        <f>L8-'Example 7.1 - Pipe P1'!$C$8</f>
        <v>188.11944653245172</v>
      </c>
      <c r="O8">
        <f>M8-'Example 7.1 - Pipe P1'!$C$9</f>
        <v>86.733025851362072</v>
      </c>
      <c r="P8">
        <f>P7</f>
        <v>659.67000000000007</v>
      </c>
      <c r="Q8">
        <f>Q7</f>
        <v>366.48333333333335</v>
      </c>
      <c r="R8">
        <f>P8-'Example 7.1 - Pipe P1'!$C$8</f>
        <v>200.00000000000006</v>
      </c>
      <c r="S8">
        <f>Q8-'Example 7.1 - Pipe P1'!$C$9</f>
        <v>93.333333333333371</v>
      </c>
      <c r="T8">
        <f>H8/L8/Rg/Z*144</f>
        <v>1.4233871207678963</v>
      </c>
      <c r="U8">
        <f>T8*16.01846</f>
        <v>22.800469658535718</v>
      </c>
      <c r="V8">
        <f>(Gam*H8/T8*gc*144)^0.5</f>
        <v>1247.7078372715812</v>
      </c>
      <c r="W8">
        <f>V8/3.28</f>
        <v>380.3987308754821</v>
      </c>
      <c r="X8">
        <f>F8*V8</f>
        <v>377.83249626064367</v>
      </c>
      <c r="Y8">
        <f>X8/3.28</f>
        <v>115.192834225806</v>
      </c>
      <c r="AA8">
        <f>D8/$D$131</f>
        <v>0.19191340952193084</v>
      </c>
      <c r="AB8">
        <f>F8</f>
        <v>0.30282128954713228</v>
      </c>
      <c r="AC8">
        <f>H8/$H$5</f>
        <v>0.8994025471184417</v>
      </c>
      <c r="AD8">
        <f>J8/$J$5</f>
        <v>0.91016114389813685</v>
      </c>
      <c r="AE8">
        <f>L8/$L$5</f>
        <v>0.9966083479220339</v>
      </c>
      <c r="AF8">
        <f>T8/$T$5</f>
        <v>0.90246338894685152</v>
      </c>
      <c r="AG8">
        <f>X8/$X$5</f>
        <v>1.1080781915895459</v>
      </c>
    </row>
    <row r="9" spans="2:33" x14ac:dyDescent="0.25">
      <c r="C9">
        <f>D/f</f>
        <v>14.705882352941176</v>
      </c>
      <c r="D9">
        <f>(1/Gam*(1/M_1^2-1/F9^2)+(Gam+1)/2/Gam*LN((M_1^2/F9^2)*(1+F9^2*(Gam-1)/2)/(1+M_1^2*(Gam-1)/2)))*D/f</f>
        <v>30.392585962550278</v>
      </c>
      <c r="E9">
        <f>D9/3.28</f>
        <v>9.2660323056555729</v>
      </c>
      <c r="F9">
        <f>F8+0.01</f>
        <v>0.31282128954713229</v>
      </c>
      <c r="G9">
        <f>(Gam/Z/Rg)^0.5*F9*(1+F9^2*(Gam-1)/2)^(-(Gam+1)/2/(Gam-1))</f>
        <v>4.7811010548079215E-2</v>
      </c>
      <c r="H9">
        <f>J9/(1+(Gam-1)/2*F9^2)^(Gam/(Gam-1))</f>
        <v>330.50722593836525</v>
      </c>
      <c r="I9" s="21">
        <f>H9*6.89476</f>
        <v>2278.7680011108032</v>
      </c>
      <c r="J9">
        <f>mdot*P9^0.5/A/G9/gc^0.5/144</f>
        <v>353.70627327224031</v>
      </c>
      <c r="K9" s="21">
        <f>J9*6.89476</f>
        <v>2438.7198647065115</v>
      </c>
      <c r="L9">
        <f>P9/(1+(Gam-1)/2*F9^2)</f>
        <v>647.00714378618113</v>
      </c>
      <c r="M9">
        <f>L9/1.8</f>
        <v>359.44841321454504</v>
      </c>
      <c r="N9">
        <f>L9-'Example 7.1 - Pipe P1'!$C$8</f>
        <v>187.33714378618112</v>
      </c>
      <c r="O9">
        <f>M9-'Example 7.1 - Pipe P1'!$C$9</f>
        <v>86.298413214545064</v>
      </c>
      <c r="P9">
        <f>P8</f>
        <v>659.67000000000007</v>
      </c>
      <c r="Q9">
        <f>Q8</f>
        <v>366.48333333333335</v>
      </c>
      <c r="R9">
        <f>P9-'Example 7.1 - Pipe P1'!$C$8</f>
        <v>200.00000000000006</v>
      </c>
      <c r="S9">
        <f>Q9-'Example 7.1 - Pipe P1'!$C$9</f>
        <v>93.333333333333371</v>
      </c>
      <c r="T9">
        <f>H9/L9/Rg/Z*144</f>
        <v>1.3787182701775045</v>
      </c>
      <c r="U9">
        <f>T9*16.01846</f>
        <v>22.08494346210755</v>
      </c>
      <c r="V9">
        <f>(Gam*H9/T9*gc*144)^0.5</f>
        <v>1246.9542126615936</v>
      </c>
      <c r="W9">
        <f>V9/3.28</f>
        <v>380.16896727487614</v>
      </c>
      <c r="X9">
        <f>F9*V9</f>
        <v>390.07382481102871</v>
      </c>
      <c r="Y9">
        <f>X9/3.28</f>
        <v>118.92494658872828</v>
      </c>
      <c r="AA9">
        <f>D9/$D$131</f>
        <v>0.24313356181642837</v>
      </c>
      <c r="AB9">
        <f>F9</f>
        <v>0.31282128954713229</v>
      </c>
      <c r="AC9">
        <f>H9/$H$5</f>
        <v>0.87012534593397095</v>
      </c>
      <c r="AD9">
        <f>J9/$J$5</f>
        <v>0.88426568318060073</v>
      </c>
      <c r="AE9">
        <f>L9/$L$5</f>
        <v>0.99540479412579808</v>
      </c>
      <c r="AF9">
        <f>T9/$T$5</f>
        <v>0.87414220934926046</v>
      </c>
      <c r="AG9">
        <f>X9/$X$5</f>
        <v>1.1439786219045893</v>
      </c>
    </row>
    <row r="10" spans="2:33" x14ac:dyDescent="0.25">
      <c r="C10">
        <f>D/f</f>
        <v>14.705882352941176</v>
      </c>
      <c r="D10">
        <f>(1/Gam*(1/M_1^2-1/F10^2)+(Gam+1)/2/Gam*LN((M_1^2/F10^2)*(1+F10^2*(Gam-1)/2)/(1+M_1^2*(Gam-1)/2)))*D/f</f>
        <v>36.16226454786613</v>
      </c>
      <c r="E10">
        <f>D10/3.28</f>
        <v>11.025080654837236</v>
      </c>
      <c r="F10">
        <f>F9+0.01</f>
        <v>0.3228212895471323</v>
      </c>
      <c r="G10">
        <f>(Gam/Z/Rg)^0.5*F10*(1+F10^2*(Gam-1)/2)^(-(Gam+1)/2/(Gam-1))</f>
        <v>4.9155289632019247E-2</v>
      </c>
      <c r="H10">
        <f>J10/(1+(Gam-1)/2*F10^2)^(Gam/(Gam-1))</f>
        <v>320.06965715530487</v>
      </c>
      <c r="I10" s="21">
        <f>H10*6.89476</f>
        <v>2206.8034693681097</v>
      </c>
      <c r="J10">
        <f>mdot*P10^0.5/A/G10/gc^0.5/144</f>
        <v>344.03325641936982</v>
      </c>
      <c r="K10" s="21">
        <f>J10*6.89476</f>
        <v>2372.0267350300142</v>
      </c>
      <c r="L10">
        <f>P10/(1+(Gam-1)/2*F10^2)</f>
        <v>646.20140695185569</v>
      </c>
      <c r="M10">
        <f>L10/1.8</f>
        <v>359.00078163991981</v>
      </c>
      <c r="N10">
        <f>L10-'Example 7.1 - Pipe P1'!$C$8</f>
        <v>186.53140695185567</v>
      </c>
      <c r="O10">
        <f>M10-'Example 7.1 - Pipe P1'!$C$9</f>
        <v>85.85078163991983</v>
      </c>
      <c r="P10">
        <f>P9</f>
        <v>659.67000000000007</v>
      </c>
      <c r="Q10">
        <f>Q9</f>
        <v>366.48333333333335</v>
      </c>
      <c r="R10">
        <f>P10-'Example 7.1 - Pipe P1'!$C$8</f>
        <v>200.00000000000006</v>
      </c>
      <c r="S10">
        <f>Q10-'Example 7.1 - Pipe P1'!$C$9</f>
        <v>93.333333333333371</v>
      </c>
      <c r="T10">
        <f>H10/L10/Rg/Z*144</f>
        <v>1.3368425279477723</v>
      </c>
      <c r="U10">
        <f>T10*16.01846</f>
        <v>21.414158560230273</v>
      </c>
      <c r="V10">
        <f>(Gam*H10/T10*gc*144)^0.5</f>
        <v>1246.1775365883484</v>
      </c>
      <c r="W10">
        <f>V10/3.28</f>
        <v>379.93217578913061</v>
      </c>
      <c r="X10">
        <f>F10*V10</f>
        <v>402.29263936611926</v>
      </c>
      <c r="Y10">
        <f>X10/3.28</f>
        <v>122.6501949286949</v>
      </c>
      <c r="AA10">
        <f>D10/$D$131</f>
        <v>0.28928963773284916</v>
      </c>
      <c r="AB10">
        <f>F10</f>
        <v>0.3228212895471323</v>
      </c>
      <c r="AC10">
        <f>H10/$H$5</f>
        <v>0.84264639105700956</v>
      </c>
      <c r="AD10">
        <f>J10/$J$5</f>
        <v>0.86008314104842454</v>
      </c>
      <c r="AE10">
        <f>L10/$L$5</f>
        <v>0.99416518755360805</v>
      </c>
      <c r="AF10">
        <f>T10/$T$5</f>
        <v>0.84759193100550179</v>
      </c>
      <c r="AG10">
        <f>X10/$X$5</f>
        <v>1.1798130248994887</v>
      </c>
    </row>
    <row r="11" spans="2:33" x14ac:dyDescent="0.25">
      <c r="C11">
        <f>D/f</f>
        <v>14.705882352941176</v>
      </c>
      <c r="D11">
        <f>(1/Gam*(1/M_1^2-1/F11^2)+(Gam+1)/2/Gam*LN((M_1^2/F11^2)*(1+F11^2*(Gam-1)/2)/(1+M_1^2*(Gam-1)/2)))*D/f</f>
        <v>41.37537247832266</v>
      </c>
      <c r="E11">
        <f>D11/3.28</f>
        <v>12.614442828756909</v>
      </c>
      <c r="F11">
        <f>F10+0.01</f>
        <v>0.3328212895471323</v>
      </c>
      <c r="G11">
        <f>(Gam/Z/Rg)^0.5*F11*(1+F11^2*(Gam-1)/2)^(-(Gam+1)/2/(Gam-1))</f>
        <v>5.0483178889679146E-2</v>
      </c>
      <c r="H11">
        <f>J11/(1+(Gam-1)/2*F11^2)^(Gam/(Gam-1))</f>
        <v>310.25359632394884</v>
      </c>
      <c r="I11" s="21">
        <f>H11*6.89476</f>
        <v>2139.1240857905095</v>
      </c>
      <c r="J11">
        <f>mdot*P11^0.5/A/G11/gc^0.5/144</f>
        <v>334.98394384586163</v>
      </c>
      <c r="K11" s="21">
        <f>J11*6.89476</f>
        <v>2309.633896670693</v>
      </c>
      <c r="L11">
        <f>P11/(1+(Gam-1)/2*F11^2)</f>
        <v>645.37241805942858</v>
      </c>
      <c r="M11">
        <f>L11/1.8</f>
        <v>358.5402322552381</v>
      </c>
      <c r="N11">
        <f>L11-'Example 7.1 - Pipe P1'!$C$8</f>
        <v>185.70241805942857</v>
      </c>
      <c r="O11">
        <f>M11-'Example 7.1 - Pipe P1'!$C$9</f>
        <v>85.390232255238118</v>
      </c>
      <c r="P11">
        <f>P10</f>
        <v>659.67000000000007</v>
      </c>
      <c r="Q11">
        <f>Q10</f>
        <v>366.48333333333335</v>
      </c>
      <c r="R11">
        <f>P11-'Example 7.1 - Pipe P1'!$C$8</f>
        <v>200.00000000000006</v>
      </c>
      <c r="S11">
        <f>Q11-'Example 7.1 - Pipe P1'!$C$9</f>
        <v>93.333333333333371</v>
      </c>
      <c r="T11">
        <f>H11/L11/Rg/Z*144</f>
        <v>1.2975080810227821</v>
      </c>
      <c r="U11">
        <f>T11*16.01846</f>
        <v>20.784081295540197</v>
      </c>
      <c r="V11">
        <f>(Gam*H11/T11*gc*144)^0.5</f>
        <v>1245.3779415559259</v>
      </c>
      <c r="W11">
        <f>V11/3.28</f>
        <v>379.68839681583108</v>
      </c>
      <c r="X11">
        <f>F11*V11</f>
        <v>414.48829248219641</v>
      </c>
      <c r="Y11">
        <f>X11/3.28</f>
        <v>126.36838185432818</v>
      </c>
      <c r="AA11">
        <f>D11/$D$131</f>
        <v>0.33099327890465191</v>
      </c>
      <c r="AB11">
        <f>F11</f>
        <v>0.3328212895471323</v>
      </c>
      <c r="AC11">
        <f>H11/$H$5</f>
        <v>0.81680367823176747</v>
      </c>
      <c r="AD11">
        <f>J11/$J$5</f>
        <v>0.83745985961465408</v>
      </c>
      <c r="AE11">
        <f>L11/$L$5</f>
        <v>0.99288980825413053</v>
      </c>
      <c r="AF11">
        <f>T11/$T$5</f>
        <v>0.82265289807739284</v>
      </c>
      <c r="AG11">
        <f>X11/$X$5</f>
        <v>1.2155795018009192</v>
      </c>
    </row>
    <row r="12" spans="2:33" x14ac:dyDescent="0.25">
      <c r="C12">
        <f>D/f</f>
        <v>14.705882352941176</v>
      </c>
      <c r="D12">
        <f>(1/Gam*(1/M_1^2-1/F12^2)+(Gam+1)/2/Gam*LN((M_1^2/F12^2)*(1+F12^2*(Gam-1)/2)/(1+M_1^2*(Gam-1)/2)))*D/f</f>
        <v>46.097294597471524</v>
      </c>
      <c r="E12">
        <f>D12/3.28</f>
        <v>14.054053230936441</v>
      </c>
      <c r="F12">
        <f>F11+0.01</f>
        <v>0.34282128954713231</v>
      </c>
      <c r="G12">
        <f>(Gam/Z/Rg)^0.5*F12*(1+F12^2*(Gam-1)/2)^(-(Gam+1)/2/(Gam-1))</f>
        <v>5.1794316730111679E-2</v>
      </c>
      <c r="H12">
        <f>J12/(1+(Gam-1)/2*F12^2)^(Gam/(Gam-1))</f>
        <v>301.00468869176279</v>
      </c>
      <c r="I12" s="21">
        <f>H12*6.89476</f>
        <v>2075.3550874044186</v>
      </c>
      <c r="J12">
        <f>mdot*P12^0.5/A/G12/gc^0.5/144</f>
        <v>326.50405353275534</v>
      </c>
      <c r="K12" s="21">
        <f>J12*6.89476</f>
        <v>2251.1670881355003</v>
      </c>
      <c r="L12">
        <f>P12/(1+(Gam-1)/2*F12^2)</f>
        <v>644.5203636725704</v>
      </c>
      <c r="M12">
        <f>L12/1.8</f>
        <v>358.06686870698354</v>
      </c>
      <c r="N12">
        <f>L12-'Example 7.1 - Pipe P1'!$C$8</f>
        <v>184.85036367257038</v>
      </c>
      <c r="O12">
        <f>M12-'Example 7.1 - Pipe P1'!$C$9</f>
        <v>84.916868706983564</v>
      </c>
      <c r="P12">
        <f>P11</f>
        <v>659.67000000000007</v>
      </c>
      <c r="Q12">
        <f>Q11</f>
        <v>366.48333333333335</v>
      </c>
      <c r="R12">
        <f>P12-'Example 7.1 - Pipe P1'!$C$8</f>
        <v>200.00000000000006</v>
      </c>
      <c r="S12">
        <f>Q12-'Example 7.1 - Pipe P1'!$C$9</f>
        <v>93.333333333333371</v>
      </c>
      <c r="T12">
        <f>H12/L12/Rg/Z*144</f>
        <v>1.2604924963339741</v>
      </c>
      <c r="U12">
        <f>T12*16.01846</f>
        <v>20.191148632825911</v>
      </c>
      <c r="V12">
        <f>(Gam*H12/T12*gc*144)^0.5</f>
        <v>1244.5555635151075</v>
      </c>
      <c r="W12">
        <f>V12/3.28</f>
        <v>379.43767180338642</v>
      </c>
      <c r="X12">
        <f>F12*V12</f>
        <v>426.66014319730709</v>
      </c>
      <c r="Y12">
        <f>X12/3.28</f>
        <v>130.07931195039851</v>
      </c>
      <c r="AA12">
        <f>D12/$D$131</f>
        <v>0.36876754875003709</v>
      </c>
      <c r="AB12">
        <f>F12</f>
        <v>0.34282128954713231</v>
      </c>
      <c r="AC12">
        <f>H12/$H$5</f>
        <v>0.79245410787027704</v>
      </c>
      <c r="AD12">
        <f>J12/$J$5</f>
        <v>0.81626013383188833</v>
      </c>
      <c r="AE12">
        <f>L12/$L$5</f>
        <v>0.99157894325104656</v>
      </c>
      <c r="AF12">
        <f>T12/$T$5</f>
        <v>0.79918408238086658</v>
      </c>
      <c r="AG12">
        <f>X12/$X$5</f>
        <v>1.2512761728447823</v>
      </c>
    </row>
    <row r="13" spans="2:33" x14ac:dyDescent="0.25">
      <c r="C13">
        <f>D/f</f>
        <v>14.705882352941176</v>
      </c>
      <c r="D13">
        <f>(1/Gam*(1/M_1^2-1/F13^2)+(Gam+1)/2/Gam*LN((M_1^2/F13^2)*(1+F13^2*(Gam-1)/2)/(1+M_1^2*(Gam-1)/2)))*D/f</f>
        <v>50.384206228392827</v>
      </c>
      <c r="E13">
        <f>D13/3.28</f>
        <v>15.361038484266107</v>
      </c>
      <c r="F13">
        <f>F12+0.01</f>
        <v>0.35282128954713232</v>
      </c>
      <c r="G13">
        <f>(Gam/Z/Rg)^0.5*F13*(1+F13^2*(Gam-1)/2)^(-(Gam+1)/2/(Gam-1))</f>
        <v>5.3088353517295135E-2</v>
      </c>
      <c r="H13">
        <f>J13/(1+(Gam-1)/2*F13^2)^(Gam/(Gam-1))</f>
        <v>292.27474260004533</v>
      </c>
      <c r="I13" s="21">
        <f>H13*6.89476</f>
        <v>2015.1642042890885</v>
      </c>
      <c r="J13">
        <f>mdot*P13^0.5/A/G13/gc^0.5/144</f>
        <v>318.54546697952469</v>
      </c>
      <c r="K13" s="21">
        <f>J13*6.89476</f>
        <v>2196.2945439117475</v>
      </c>
      <c r="L13">
        <f>P13/(1+(Gam-1)/2*F13^2)</f>
        <v>643.64543478685323</v>
      </c>
      <c r="M13">
        <f>L13/1.8</f>
        <v>357.58079710380736</v>
      </c>
      <c r="N13">
        <f>L13-'Example 7.1 - Pipe P1'!$C$8</f>
        <v>183.97543478685321</v>
      </c>
      <c r="O13">
        <f>M13-'Example 7.1 - Pipe P1'!$C$9</f>
        <v>84.430797103807379</v>
      </c>
      <c r="P13">
        <f>P12</f>
        <v>659.67000000000007</v>
      </c>
      <c r="Q13">
        <f>Q12</f>
        <v>366.48333333333335</v>
      </c>
      <c r="R13">
        <f>P13-'Example 7.1 - Pipe P1'!$C$8</f>
        <v>200.00000000000006</v>
      </c>
      <c r="S13">
        <f>Q13-'Example 7.1 - Pipe P1'!$C$9</f>
        <v>93.333333333333371</v>
      </c>
      <c r="T13">
        <f>H13/L13/Rg/Z*144</f>
        <v>1.2255985572335948</v>
      </c>
      <c r="U13">
        <f>T13*16.01846</f>
        <v>19.63220146510405</v>
      </c>
      <c r="V13">
        <f>(Gam*H13/T13*gc*144)^0.5</f>
        <v>1243.7105418010644</v>
      </c>
      <c r="W13">
        <f>V13/3.28</f>
        <v>379.18004323203184</v>
      </c>
      <c r="X13">
        <f>F13*V13</f>
        <v>438.80755718161419</v>
      </c>
      <c r="Y13">
        <f>X13/3.28</f>
        <v>133.78279182366288</v>
      </c>
      <c r="AA13">
        <f>D13/$D$131</f>
        <v>0.40306183668270862</v>
      </c>
      <c r="AB13">
        <f>F13</f>
        <v>0.35282128954713232</v>
      </c>
      <c r="AC13">
        <f>H13/$H$5</f>
        <v>0.76947080594253903</v>
      </c>
      <c r="AD13">
        <f>J13/$J$5</f>
        <v>0.79636366744881171</v>
      </c>
      <c r="AE13">
        <f>L13/$L$5</f>
        <v>0.99023288638641049</v>
      </c>
      <c r="AF13">
        <f>T13/$T$5</f>
        <v>0.77706044357960735</v>
      </c>
      <c r="AG13">
        <f>X13/$X$5</f>
        <v>1.2869011777171402</v>
      </c>
    </row>
    <row r="14" spans="2:33" x14ac:dyDescent="0.25">
      <c r="C14">
        <f>D/f</f>
        <v>14.705882352941176</v>
      </c>
      <c r="D14">
        <f>(1/Gam*(1/M_1^2-1/F14^2)+(Gam+1)/2/Gam*LN((M_1^2/F14^2)*(1+F14^2*(Gam-1)/2)/(1+M_1^2*(Gam-1)/2)))*D/f</f>
        <v>54.284581075367385</v>
      </c>
      <c r="E14">
        <f>D14/3.28</f>
        <v>16.550177157124203</v>
      </c>
      <c r="F14">
        <f>F13+0.01</f>
        <v>0.36282128954713233</v>
      </c>
      <c r="G14">
        <f>(Gam/Z/Rg)^0.5*F14*(1+F14^2*(Gam-1)/2)^(-(Gam+1)/2/(Gam-1))</f>
        <v>5.4364951732258943E-2</v>
      </c>
      <c r="H14">
        <f>J14/(1+(Gam-1)/2*F14^2)^(Gam/(Gam-1))</f>
        <v>284.0208801402793</v>
      </c>
      <c r="I14" s="21">
        <f>H14*6.89476</f>
        <v>1958.2558035559921</v>
      </c>
      <c r="J14">
        <f>mdot*P14^0.5/A/G14/gc^0.5/144</f>
        <v>311.06537987241933</v>
      </c>
      <c r="K14" s="21">
        <f>J14*6.89476</f>
        <v>2144.7211385291616</v>
      </c>
      <c r="L14">
        <f>P14/(1+(Gam-1)/2*F14^2)</f>
        <v>642.74782672613674</v>
      </c>
      <c r="M14">
        <f>L14/1.8</f>
        <v>357.08212595896487</v>
      </c>
      <c r="N14">
        <f>L14-'Example 7.1 - Pipe P1'!$C$8</f>
        <v>183.07782672613672</v>
      </c>
      <c r="O14">
        <f>M14-'Example 7.1 - Pipe P1'!$C$9</f>
        <v>83.932125958964889</v>
      </c>
      <c r="P14">
        <f>P13</f>
        <v>659.67000000000007</v>
      </c>
      <c r="Q14">
        <f>Q13</f>
        <v>366.48333333333335</v>
      </c>
      <c r="R14">
        <f>P14-'Example 7.1 - Pipe P1'!$C$8</f>
        <v>200.00000000000006</v>
      </c>
      <c r="S14">
        <f>Q14-'Example 7.1 - Pipe P1'!$C$9</f>
        <v>93.333333333333371</v>
      </c>
      <c r="T14">
        <f>H14/L14/Rg/Z*144</f>
        <v>1.1926507884602224</v>
      </c>
      <c r="U14">
        <f>T14*16.01846</f>
        <v>19.104428948918535</v>
      </c>
      <c r="V14">
        <f>(Gam*H14/T14*gc*144)^0.5</f>
        <v>1242.8430190698386</v>
      </c>
      <c r="W14">
        <f>V14/3.28</f>
        <v>378.915554594463</v>
      </c>
      <c r="X14">
        <f>F14*V14</f>
        <v>450.92990688357003</v>
      </c>
      <c r="Y14">
        <f>X14/3.28</f>
        <v>137.4786301474299</v>
      </c>
      <c r="AA14">
        <f>D14/$D$131</f>
        <v>0.4342639209717073</v>
      </c>
      <c r="AB14">
        <f>F14</f>
        <v>0.36282128954713233</v>
      </c>
      <c r="AC14">
        <f>H14/$H$5</f>
        <v>0.74774088791213977</v>
      </c>
      <c r="AD14">
        <f>J14/$J$5</f>
        <v>0.77766344968104828</v>
      </c>
      <c r="AE14">
        <f>L14/$L$5</f>
        <v>0.98885193816124151</v>
      </c>
      <c r="AF14">
        <f>T14/$T$5</f>
        <v>0.75617072592541523</v>
      </c>
      <c r="AG14">
        <f>X14/$X$5</f>
        <v>1.3224526759829034</v>
      </c>
    </row>
    <row r="15" spans="2:33" x14ac:dyDescent="0.25">
      <c r="C15">
        <f>D/f</f>
        <v>14.705882352941176</v>
      </c>
      <c r="D15">
        <f>(1/Gam*(1/M_1^2-1/F15^2)+(Gam+1)/2/Gam*LN((M_1^2/F15^2)*(1+F15^2*(Gam-1)/2)/(1+M_1^2*(Gam-1)/2)))*D/f</f>
        <v>57.840419216521781</v>
      </c>
      <c r="E15">
        <f>D15/3.28</f>
        <v>17.634274151378591</v>
      </c>
      <c r="F15">
        <f>F14+0.01</f>
        <v>0.37282128954713234</v>
      </c>
      <c r="G15">
        <f>(Gam/Z/Rg)^0.5*F15*(1+F15^2*(Gam-1)/2)^(-(Gam+1)/2/(Gam-1))</f>
        <v>5.5623786120766822E-2</v>
      </c>
      <c r="H15">
        <f>J15/(1+(Gam-1)/2*F15^2)^(Gam/(Gam-1))</f>
        <v>276.20482449935997</v>
      </c>
      <c r="I15" s="21">
        <f>H15*6.89476</f>
        <v>1904.3659757652072</v>
      </c>
      <c r="J15">
        <f>mdot*P15^0.5/A/G15/gc^0.5/144</f>
        <v>304.02558944162246</v>
      </c>
      <c r="K15" s="21">
        <f>J15*6.89476</f>
        <v>2096.1834730585206</v>
      </c>
      <c r="L15">
        <f>P15/(1+(Gam-1)/2*F15^2)</f>
        <v>641.82773903725717</v>
      </c>
      <c r="M15">
        <f>L15/1.8</f>
        <v>356.57096613180954</v>
      </c>
      <c r="N15">
        <f>L15-'Example 7.1 - Pipe P1'!$C$8</f>
        <v>182.15773903725716</v>
      </c>
      <c r="O15">
        <f>M15-'Example 7.1 - Pipe P1'!$C$9</f>
        <v>83.420966131809564</v>
      </c>
      <c r="P15">
        <f>P14</f>
        <v>659.67000000000007</v>
      </c>
      <c r="Q15">
        <f>Q14</f>
        <v>366.48333333333335</v>
      </c>
      <c r="R15">
        <f>P15-'Example 7.1 - Pipe P1'!$C$8</f>
        <v>200.00000000000006</v>
      </c>
      <c r="S15">
        <f>Q15-'Example 7.1 - Pipe P1'!$C$9</f>
        <v>93.333333333333371</v>
      </c>
      <c r="T15">
        <f>H15/L15/Rg/Z*144</f>
        <v>1.1614925403592746</v>
      </c>
      <c r="U15">
        <f>T15*16.01846</f>
        <v>18.605321798043427</v>
      </c>
      <c r="V15">
        <f>(Gam*H15/T15*gc*144)^0.5</f>
        <v>1241.9531412336773</v>
      </c>
      <c r="W15">
        <f>V15/3.28</f>
        <v>378.64425037612114</v>
      </c>
      <c r="X15">
        <f>F15*V15</f>
        <v>463.02657167185134</v>
      </c>
      <c r="Y15">
        <f>X15/3.28</f>
        <v>141.16663770483274</v>
      </c>
      <c r="AA15">
        <f>D15/$D$131</f>
        <v>0.46270979239465454</v>
      </c>
      <c r="AB15">
        <f>F15</f>
        <v>0.37282128954713234</v>
      </c>
      <c r="AC15">
        <f>H15/$H$5</f>
        <v>0.72716358253224955</v>
      </c>
      <c r="AD15">
        <f>J15/$J$5</f>
        <v>0.7600639736040562</v>
      </c>
      <c r="AE15">
        <f>L15/$L$5</f>
        <v>0.98743640557350632</v>
      </c>
      <c r="AF15">
        <f>T15/$T$5</f>
        <v>0.73641560958035635</v>
      </c>
      <c r="AG15">
        <f>X15/$X$5</f>
        <v>1.3579288475020865</v>
      </c>
    </row>
    <row r="16" spans="2:33" x14ac:dyDescent="0.25">
      <c r="C16">
        <f>D/f</f>
        <v>14.705882352941176</v>
      </c>
      <c r="D16">
        <f>(1/Gam*(1/M_1^2-1/F16^2)+(Gam+1)/2/Gam*LN((M_1^2/F16^2)*(1+F16^2*(Gam-1)/2)/(1+M_1^2*(Gam-1)/2)))*D/f</f>
        <v>61.08825298397386</v>
      </c>
      <c r="E16">
        <f>D16/3.28</f>
        <v>18.624467373162762</v>
      </c>
      <c r="F16">
        <f>F15+0.01</f>
        <v>0.38282128954713235</v>
      </c>
      <c r="G16">
        <f>(Gam/Z/Rg)^0.5*F16*(1+F16^2*(Gam-1)/2)^(-(Gam+1)/2/(Gam-1))</f>
        <v>5.6864543826532235E-2</v>
      </c>
      <c r="H16">
        <f>J16/(1+(Gam-1)/2*F16^2)^(Gam/(Gam-1))</f>
        <v>268.79229899974916</v>
      </c>
      <c r="I16" s="21">
        <f>H16*6.89476</f>
        <v>1853.2583914515105</v>
      </c>
      <c r="J16">
        <f>mdot*P16^0.5/A/G16/gc^0.5/144</f>
        <v>297.39189351327212</v>
      </c>
      <c r="K16" s="21">
        <f>J16*6.89476</f>
        <v>2050.4457317195679</v>
      </c>
      <c r="L16">
        <f>P16/(1+(Gam-1)/2*F16^2)</f>
        <v>640.88537538312016</v>
      </c>
      <c r="M16">
        <f>L16/1.8</f>
        <v>356.04743076840009</v>
      </c>
      <c r="N16">
        <f>L16-'Example 7.1 - Pipe P1'!$C$8</f>
        <v>181.21537538312015</v>
      </c>
      <c r="O16">
        <f>M16-'Example 7.1 - Pipe P1'!$C$9</f>
        <v>82.897430768400113</v>
      </c>
      <c r="P16">
        <f>P15</f>
        <v>659.67000000000007</v>
      </c>
      <c r="Q16">
        <f>Q15</f>
        <v>366.48333333333335</v>
      </c>
      <c r="R16">
        <f>P16-'Example 7.1 - Pipe P1'!$C$8</f>
        <v>200.00000000000006</v>
      </c>
      <c r="S16">
        <f>Q16-'Example 7.1 - Pipe P1'!$C$9</f>
        <v>93.333333333333371</v>
      </c>
      <c r="T16">
        <f>H16/L16/Rg/Z*144</f>
        <v>1.1319835300970817</v>
      </c>
      <c r="U16">
        <f>T16*16.01846</f>
        <v>18.132632897518903</v>
      </c>
      <c r="V16">
        <f>(Gam*H16/T16*gc*144)^0.5</f>
        <v>1241.0410573952713</v>
      </c>
      <c r="W16">
        <f>V16/3.28</f>
        <v>378.36617603514372</v>
      </c>
      <c r="X16">
        <f>F16*V16</f>
        <v>475.09693797299445</v>
      </c>
      <c r="Y16">
        <f>X16/3.28</f>
        <v>144.84662743079099</v>
      </c>
      <c r="AA16">
        <f>D16/$D$131</f>
        <v>0.48869170104307652</v>
      </c>
      <c r="AB16">
        <f>F16</f>
        <v>0.38282128954713235</v>
      </c>
      <c r="AC16">
        <f>H16/$H$5</f>
        <v>0.70764864970050556</v>
      </c>
      <c r="AD16">
        <f>J16/$J$5</f>
        <v>0.74347973378318033</v>
      </c>
      <c r="AE16">
        <f>L16/$L$5</f>
        <v>0.98598660195364407</v>
      </c>
      <c r="AF16">
        <f>T16/$T$5</f>
        <v>0.71770615168437712</v>
      </c>
      <c r="AG16">
        <f>X16/$X$5</f>
        <v>1.3933278928334534</v>
      </c>
    </row>
    <row r="17" spans="3:33" x14ac:dyDescent="0.25">
      <c r="C17">
        <f>D/f</f>
        <v>14.705882352941176</v>
      </c>
      <c r="D17">
        <f>(1/Gam*(1/M_1^2-1/F17^2)+(Gam+1)/2/Gam*LN((M_1^2/F17^2)*(1+F17^2*(Gam-1)/2)/(1+M_1^2*(Gam-1)/2)))*D/f</f>
        <v>64.059975446761854</v>
      </c>
      <c r="E17">
        <f>D17/3.28</f>
        <v>19.530480319134714</v>
      </c>
      <c r="F17">
        <f>F16+0.01</f>
        <v>0.39282128954713236</v>
      </c>
      <c r="G17">
        <f>(Gam/Z/Rg)^0.5*F17*(1+F17^2*(Gam-1)/2)^(-(Gam+1)/2/(Gam-1))</f>
        <v>5.8086924509966019E-2</v>
      </c>
      <c r="H17">
        <f>J17/(1+(Gam-1)/2*F17^2)^(Gam/(Gam-1))</f>
        <v>261.75251793074528</v>
      </c>
      <c r="I17" s="21">
        <f>H17*6.89476</f>
        <v>1804.7207905281853</v>
      </c>
      <c r="J17">
        <f>mdot*P17^0.5/A/G17/gc^0.5/144</f>
        <v>291.13358135253702</v>
      </c>
      <c r="K17" s="21">
        <f>J17*6.89476</f>
        <v>2007.296171366218</v>
      </c>
      <c r="L17">
        <f>P17/(1+(Gam-1)/2*F17^2)</f>
        <v>639.92094343430131</v>
      </c>
      <c r="M17">
        <f>L17/1.8</f>
        <v>355.5116352412785</v>
      </c>
      <c r="N17">
        <f>L17-'Example 7.1 - Pipe P1'!$C$8</f>
        <v>180.25094343430129</v>
      </c>
      <c r="O17">
        <f>M17-'Example 7.1 - Pipe P1'!$C$9</f>
        <v>82.36163524127852</v>
      </c>
      <c r="P17">
        <f>P16</f>
        <v>659.67000000000007</v>
      </c>
      <c r="Q17">
        <f>Q16</f>
        <v>366.48333333333335</v>
      </c>
      <c r="R17">
        <f>P17-'Example 7.1 - Pipe P1'!$C$8</f>
        <v>200.00000000000006</v>
      </c>
      <c r="S17">
        <f>Q17-'Example 7.1 - Pipe P1'!$C$9</f>
        <v>93.333333333333371</v>
      </c>
      <c r="T17">
        <f>H17/L17/Rg/Z*144</f>
        <v>1.1039977584331335</v>
      </c>
      <c r="U17">
        <f>T17*16.01846</f>
        <v>17.684343933550814</v>
      </c>
      <c r="V17">
        <f>(Gam*H17/T17*gc*144)^0.5</f>
        <v>1240.1069197809545</v>
      </c>
      <c r="W17">
        <f>V17/3.28</f>
        <v>378.08137798199834</v>
      </c>
      <c r="X17">
        <f>F17*V17</f>
        <v>487.14039940467677</v>
      </c>
      <c r="Y17">
        <f>X17/3.28</f>
        <v>148.51841445264537</v>
      </c>
      <c r="AA17">
        <f>D17/$D$131</f>
        <v>0.51246478399159001</v>
      </c>
      <c r="AB17">
        <f>F17</f>
        <v>0.39282128954713236</v>
      </c>
      <c r="AC17">
        <f>H17/$H$5</f>
        <v>0.68911503997207946</v>
      </c>
      <c r="AD17">
        <f>J17/$J$5</f>
        <v>0.7278339533813426</v>
      </c>
      <c r="AE17">
        <f>L17/$L$5</f>
        <v>0.98450284679779743</v>
      </c>
      <c r="AF17">
        <f>T17/$T$5</f>
        <v>0.69996246553628683</v>
      </c>
      <c r="AG17">
        <f>X17/$X$5</f>
        <v>1.4286480336253959</v>
      </c>
    </row>
    <row r="18" spans="3:33" x14ac:dyDescent="0.25">
      <c r="C18">
        <f>D/f</f>
        <v>14.705882352941176</v>
      </c>
      <c r="D18">
        <f>(1/Gam*(1/M_1^2-1/F18^2)+(Gam+1)/2/Gam*LN((M_1^2/F18^2)*(1+F18^2*(Gam-1)/2)/(1+M_1^2*(Gam-1)/2)))*D/f</f>
        <v>66.783526338530862</v>
      </c>
      <c r="E18">
        <f>D18/3.28</f>
        <v>20.360831200771607</v>
      </c>
      <c r="F18">
        <f>F17+0.01</f>
        <v>0.40282128954713237</v>
      </c>
      <c r="G18">
        <f>(Gam/Z/Rg)^0.5*F18*(1+F18^2*(Gam-1)/2)^(-(Gam+1)/2/(Gam-1))</f>
        <v>5.9290640452480808E-2</v>
      </c>
      <c r="H18">
        <f>J18/(1+(Gam-1)/2*F18^2)^(Gam/(Gam-1))</f>
        <v>255.05775321994238</v>
      </c>
      <c r="I18" s="21">
        <f>H18*6.89476</f>
        <v>1758.5619945907299</v>
      </c>
      <c r="J18">
        <f>mdot*P18^0.5/A/G18/gc^0.5/144</f>
        <v>285.22300034681592</v>
      </c>
      <c r="K18" s="21">
        <f>J18*6.89476</f>
        <v>1966.5441338712126</v>
      </c>
      <c r="L18">
        <f>P18/(1+(Gam-1)/2*F18^2)</f>
        <v>638.9346547592578</v>
      </c>
      <c r="M18">
        <f>L18/1.8</f>
        <v>354.96369708847652</v>
      </c>
      <c r="N18">
        <f>L18-'Example 7.1 - Pipe P1'!$C$8</f>
        <v>179.26465475925778</v>
      </c>
      <c r="O18">
        <f>M18-'Example 7.1 - Pipe P1'!$C$9</f>
        <v>81.813697088476545</v>
      </c>
      <c r="P18">
        <f>P17</f>
        <v>659.67000000000007</v>
      </c>
      <c r="Q18">
        <f>Q17</f>
        <v>366.48333333333335</v>
      </c>
      <c r="R18">
        <f>P18-'Example 7.1 - Pipe P1'!$C$8</f>
        <v>200.00000000000006</v>
      </c>
      <c r="S18">
        <f>Q18-'Example 7.1 - Pipe P1'!$C$9</f>
        <v>93.333333333333371</v>
      </c>
      <c r="T18">
        <f>H18/L18/Rg/Z*144</f>
        <v>1.0774217367881302</v>
      </c>
      <c r="U18">
        <f>T18*16.01846</f>
        <v>17.258636993871193</v>
      </c>
      <c r="V18">
        <f>(Gam*H18/T18*gc*144)^0.5</f>
        <v>1239.1508836729217</v>
      </c>
      <c r="W18">
        <f>V18/3.28</f>
        <v>377.78990355881763</v>
      </c>
      <c r="X18">
        <f>F18*V18</f>
        <v>499.15635690459493</v>
      </c>
      <c r="Y18">
        <f>X18/3.28</f>
        <v>152.18181612944969</v>
      </c>
      <c r="AA18">
        <f>D18/$D$131</f>
        <v>0.53425255255857051</v>
      </c>
      <c r="AB18">
        <f>F18</f>
        <v>0.40282128954713237</v>
      </c>
      <c r="AC18">
        <f>H18/$H$5</f>
        <v>0.67148975373697539</v>
      </c>
      <c r="AD18">
        <f>J18/$J$5</f>
        <v>0.71305750086703978</v>
      </c>
      <c r="AE18">
        <f>L18/$L$5</f>
        <v>0.98298546559890498</v>
      </c>
      <c r="AF18">
        <f>T18/$T$5</f>
        <v>0.68311259651011802</v>
      </c>
      <c r="AG18">
        <f>X18/$X$5</f>
        <v>1.4638875129938969</v>
      </c>
    </row>
    <row r="19" spans="3:33" x14ac:dyDescent="0.25">
      <c r="C19">
        <f>D/f</f>
        <v>14.705882352941176</v>
      </c>
      <c r="D19">
        <f>(1/Gam*(1/M_1^2-1/F19^2)+(Gam+1)/2/Gam*LN((M_1^2/F19^2)*(1+F19^2*(Gam-1)/2)/(1+M_1^2*(Gam-1)/2)))*D/f</f>
        <v>69.283462762120763</v>
      </c>
      <c r="E19">
        <f>D19/3.28</f>
        <v>21.123006939670965</v>
      </c>
      <c r="F19">
        <f>F18+0.01</f>
        <v>0.41282128954713238</v>
      </c>
      <c r="G19">
        <f>(Gam/Z/Rg)^0.5*F19*(1+F19^2*(Gam-1)/2)^(-(Gam+1)/2/(Gam-1))</f>
        <v>6.0475416646400756E-2</v>
      </c>
      <c r="H19">
        <f>J19/(1+(Gam-1)/2*F19^2)^(Gam/(Gam-1))</f>
        <v>248.68296408505327</v>
      </c>
      <c r="I19" s="21">
        <f>H19*6.89476</f>
        <v>1714.6093534550619</v>
      </c>
      <c r="J19">
        <f>mdot*P19^0.5/A/G19/gc^0.5/144</f>
        <v>279.63518566923915</v>
      </c>
      <c r="K19" s="21">
        <f>J19*6.89476</f>
        <v>1928.0174927448434</v>
      </c>
      <c r="L19">
        <f>P19/(1+(Gam-1)/2*F19^2)</f>
        <v>637.92672471325295</v>
      </c>
      <c r="M19">
        <f>L19/1.8</f>
        <v>354.40373595180716</v>
      </c>
      <c r="N19">
        <f>L19-'Example 7.1 - Pipe P1'!$C$8</f>
        <v>178.25672471325294</v>
      </c>
      <c r="O19">
        <f>M19-'Example 7.1 - Pipe P1'!$C$9</f>
        <v>81.253735951807187</v>
      </c>
      <c r="P19">
        <f>P18</f>
        <v>659.67000000000007</v>
      </c>
      <c r="Q19">
        <f>Q18</f>
        <v>366.48333333333335</v>
      </c>
      <c r="R19">
        <f>P19-'Example 7.1 - Pipe P1'!$C$8</f>
        <v>200.00000000000006</v>
      </c>
      <c r="S19">
        <f>Q19-'Example 7.1 - Pipe P1'!$C$9</f>
        <v>93.333333333333371</v>
      </c>
      <c r="T19">
        <f>H19/L19/Rg/Z*144</f>
        <v>1.0521529719925453</v>
      </c>
      <c r="U19">
        <f>T19*16.01846</f>
        <v>16.853870295743707</v>
      </c>
      <c r="V19">
        <f>(Gam*H19/T19*gc*144)^0.5</f>
        <v>1238.1731073405206</v>
      </c>
      <c r="W19">
        <f>V19/3.28</f>
        <v>377.49180101845144</v>
      </c>
      <c r="X19">
        <f>F19*V19</f>
        <v>511.14421885489367</v>
      </c>
      <c r="Y19">
        <f>X19/3.28</f>
        <v>155.83665208990661</v>
      </c>
      <c r="AA19">
        <f>D19/$D$131</f>
        <v>0.55425145780904805</v>
      </c>
      <c r="AB19">
        <f>F19</f>
        <v>0.41282128954713238</v>
      </c>
      <c r="AC19">
        <f>H19/$H$5</f>
        <v>0.65470686620553631</v>
      </c>
      <c r="AD19">
        <f>J19/$J$5</f>
        <v>0.69908796417309782</v>
      </c>
      <c r="AE19">
        <f>L19/$L$5</f>
        <v>0.98143478967581466</v>
      </c>
      <c r="AF19">
        <f>T19/$T$5</f>
        <v>0.66709156134744074</v>
      </c>
      <c r="AG19">
        <f>X19/$X$5</f>
        <v>1.4990445958874461</v>
      </c>
    </row>
    <row r="20" spans="3:33" x14ac:dyDescent="0.25">
      <c r="C20">
        <f>D/f</f>
        <v>14.705882352941176</v>
      </c>
      <c r="D20">
        <f>(1/Gam*(1/M_1^2-1/F20^2)+(Gam+1)/2/Gam*LN((M_1^2/F20^2)*(1+F20^2*(Gam-1)/2)/(1+M_1^2*(Gam-1)/2)))*D/f</f>
        <v>71.581436249194041</v>
      </c>
      <c r="E20">
        <f>D20/3.28</f>
        <v>21.823608612559159</v>
      </c>
      <c r="F20">
        <f>F19+0.01</f>
        <v>0.42282128954713238</v>
      </c>
      <c r="G20">
        <f>(Gam/Z/Rg)^0.5*F20*(1+F20^2*(Gam-1)/2)^(-(Gam+1)/2/(Gam-1))</f>
        <v>6.1640990870549105E-2</v>
      </c>
      <c r="H20">
        <f>J20/(1+(Gam-1)/2*F20^2)^(Gam/(Gam-1))</f>
        <v>242.60547923942318</v>
      </c>
      <c r="I20" s="21">
        <f>H20*6.89476</f>
        <v>1672.7065540408053</v>
      </c>
      <c r="J20">
        <f>mdot*P20^0.5/A/G20/gc^0.5/144</f>
        <v>274.34754249579481</v>
      </c>
      <c r="K20" s="21">
        <f>J20*6.89476</f>
        <v>1891.5604620983063</v>
      </c>
      <c r="L20">
        <f>P20/(1+(Gam-1)/2*F20^2)</f>
        <v>636.89737232609855</v>
      </c>
      <c r="M20">
        <f>L20/1.8</f>
        <v>353.83187351449919</v>
      </c>
      <c r="N20">
        <f>L20-'Example 7.1 - Pipe P1'!$C$8</f>
        <v>177.22737232609853</v>
      </c>
      <c r="O20">
        <f>M20-'Example 7.1 - Pipe P1'!$C$9</f>
        <v>80.681873514499216</v>
      </c>
      <c r="P20">
        <f>P19</f>
        <v>659.67000000000007</v>
      </c>
      <c r="Q20">
        <f>Q19</f>
        <v>366.48333333333335</v>
      </c>
      <c r="R20">
        <f>P20-'Example 7.1 - Pipe P1'!$C$8</f>
        <v>200.00000000000006</v>
      </c>
      <c r="S20">
        <f>Q20-'Example 7.1 - Pipe P1'!$C$9</f>
        <v>93.333333333333371</v>
      </c>
      <c r="T20">
        <f>H20/L20/Rg/Z*144</f>
        <v>1.0280986660555111</v>
      </c>
      <c r="U20">
        <f>T20*16.01846</f>
        <v>16.468557358263563</v>
      </c>
      <c r="V20">
        <f>(Gam*H20/T20*gc*144)^0.5</f>
        <v>1237.1737519706737</v>
      </c>
      <c r="W20">
        <f>V20/3.28</f>
        <v>377.18711950325422</v>
      </c>
      <c r="X20">
        <f>F20*V20</f>
        <v>523.10340120210435</v>
      </c>
      <c r="Y20">
        <f>X20/3.28</f>
        <v>159.48274426893425</v>
      </c>
      <c r="AA20">
        <f>D20/$D$131</f>
        <v>0.57263470691987706</v>
      </c>
      <c r="AB20">
        <f>F20</f>
        <v>0.42282128954713238</v>
      </c>
      <c r="AC20">
        <f>H20/$H$5</f>
        <v>0.63870669075188824</v>
      </c>
      <c r="AD20">
        <f>J20/$J$5</f>
        <v>0.68586885623948701</v>
      </c>
      <c r="AE20">
        <f>L20/$L$5</f>
        <v>0.97985115600057826</v>
      </c>
      <c r="AF20">
        <f>T20/$T$5</f>
        <v>0.65184052377799229</v>
      </c>
      <c r="AG20">
        <f>X20/$X$5</f>
        <v>1.5341175694387876</v>
      </c>
    </row>
    <row r="21" spans="3:33" x14ac:dyDescent="0.25">
      <c r="C21">
        <f>D/f</f>
        <v>14.705882352941176</v>
      </c>
      <c r="D21">
        <f>(1/Gam*(1/M_1^2-1/F21^2)+(Gam+1)/2/Gam*LN((M_1^2/F21^2)*(1+F21^2*(Gam-1)/2)/(1+M_1^2*(Gam-1)/2)))*D/f</f>
        <v>73.696593313712796</v>
      </c>
      <c r="E21">
        <f>D21/3.28</f>
        <v>22.468473571253902</v>
      </c>
      <c r="F21">
        <f>F20+0.01</f>
        <v>0.43282128954713239</v>
      </c>
      <c r="G21">
        <f>(Gam/Z/Rg)^0.5*F21*(1+F21^2*(Gam-1)/2)^(-(Gam+1)/2/(Gam-1))</f>
        <v>6.2787113751609155E-2</v>
      </c>
      <c r="H21">
        <f>J21/(1+(Gam-1)/2*F21^2)^(Gam/(Gam-1))</f>
        <v>236.80472315175621</v>
      </c>
      <c r="I21" s="21">
        <f>H21*6.89476</f>
        <v>1632.7117329978025</v>
      </c>
      <c r="J21">
        <f>mdot*P21^0.5/A/G21/gc^0.5/144</f>
        <v>269.33957227660369</v>
      </c>
      <c r="K21" s="21">
        <f>J21*6.89476</f>
        <v>1857.0317093498361</v>
      </c>
      <c r="L21">
        <f>P21/(1+(Gam-1)/2*F21^2)</f>
        <v>635.84682018881813</v>
      </c>
      <c r="M21">
        <f>L21/1.8</f>
        <v>353.24823343823226</v>
      </c>
      <c r="N21">
        <f>L21-'Example 7.1 - Pipe P1'!$C$8</f>
        <v>176.17682018881811</v>
      </c>
      <c r="O21">
        <f>M21-'Example 7.1 - Pipe P1'!$C$9</f>
        <v>80.098233438232285</v>
      </c>
      <c r="P21">
        <f>P20</f>
        <v>659.67000000000007</v>
      </c>
      <c r="Q21">
        <f>Q20</f>
        <v>366.48333333333335</v>
      </c>
      <c r="R21">
        <f>P21-'Example 7.1 - Pipe P1'!$C$8</f>
        <v>200.00000000000006</v>
      </c>
      <c r="S21">
        <f>Q21-'Example 7.1 - Pipe P1'!$C$9</f>
        <v>93.333333333333371</v>
      </c>
      <c r="T21">
        <f>H21/L21/Rg/Z*144</f>
        <v>1.0051745961788727</v>
      </c>
      <c r="U21">
        <f>T21*16.01846</f>
        <v>16.101349061907428</v>
      </c>
      <c r="V21">
        <f>(Gam*H21/T21*gc*144)^0.5</f>
        <v>1236.1529815974895</v>
      </c>
      <c r="W21">
        <f>V21/3.28</f>
        <v>376.8759090236249</v>
      </c>
      <c r="X21">
        <f>F21*V21</f>
        <v>535.03332757255805</v>
      </c>
      <c r="Y21">
        <f>X21/3.28</f>
        <v>163.11991694285308</v>
      </c>
      <c r="AA21">
        <f>D21/$D$131</f>
        <v>0.58955546751363841</v>
      </c>
      <c r="AB21">
        <f>F21</f>
        <v>0.43282128954713239</v>
      </c>
      <c r="AC21">
        <f>H21/$H$5</f>
        <v>0.6234350582387731</v>
      </c>
      <c r="AD21">
        <f>J21/$J$5</f>
        <v>0.67334893069150925</v>
      </c>
      <c r="AE21">
        <f>L21/$L$5</f>
        <v>0.97823490702408522</v>
      </c>
      <c r="AF21">
        <f>T21/$T$5</f>
        <v>0.63730608442029701</v>
      </c>
      <c r="AG21">
        <f>X21/$X$5</f>
        <v>1.5691047433033922</v>
      </c>
    </row>
    <row r="22" spans="3:33" x14ac:dyDescent="0.25">
      <c r="C22">
        <f>D/f</f>
        <v>14.705882352941176</v>
      </c>
      <c r="D22">
        <f>(1/Gam*(1/M_1^2-1/F22^2)+(Gam+1)/2/Gam*LN((M_1^2/F22^2)*(1+F22^2*(Gam-1)/2)/(1+M_1^2*(Gam-1)/2)))*D/f</f>
        <v>75.64591319047075</v>
      </c>
      <c r="E22">
        <f>D22/3.28</f>
        <v>23.062778411728889</v>
      </c>
      <c r="F22">
        <f>F21+0.01</f>
        <v>0.4428212895471324</v>
      </c>
      <c r="G22">
        <f>(Gam/Z/Rg)^0.5*F22*(1+F22^2*(Gam-1)/2)^(-(Gam+1)/2/(Gam-1))</f>
        <v>6.3913548811376647E-2</v>
      </c>
      <c r="H22">
        <f>J22/(1+(Gam-1)/2*F22^2)^(Gam/(Gam-1))</f>
        <v>231.26197939609619</v>
      </c>
      <c r="I22" s="21">
        <f>H22*6.89476</f>
        <v>1594.4958450610281</v>
      </c>
      <c r="J22">
        <f>mdot*P22^0.5/A/G22/gc^0.5/144</f>
        <v>264.59263609738241</v>
      </c>
      <c r="K22" s="21">
        <f>J22*6.89476</f>
        <v>1824.3027236587882</v>
      </c>
      <c r="L22">
        <f>P22/(1+(Gam-1)/2*F22^2)</f>
        <v>634.77529433933501</v>
      </c>
      <c r="M22">
        <f>L22/1.8</f>
        <v>352.65294129963053</v>
      </c>
      <c r="N22">
        <f>L22-'Example 7.1 - Pipe P1'!$C$8</f>
        <v>175.10529433933499</v>
      </c>
      <c r="O22">
        <f>M22-'Example 7.1 - Pipe P1'!$C$9</f>
        <v>79.50294129963055</v>
      </c>
      <c r="P22">
        <f>P21</f>
        <v>659.67000000000007</v>
      </c>
      <c r="Q22">
        <f>Q21</f>
        <v>366.48333333333335</v>
      </c>
      <c r="R22">
        <f>P22-'Example 7.1 - Pipe P1'!$C$8</f>
        <v>200.00000000000006</v>
      </c>
      <c r="S22">
        <f>Q22-'Example 7.1 - Pipe P1'!$C$9</f>
        <v>93.333333333333371</v>
      </c>
      <c r="T22">
        <f>H22/L22/Rg/Z*144</f>
        <v>0.9833041465237321</v>
      </c>
      <c r="U22">
        <f>T22*16.01846</f>
        <v>15.751018138924543</v>
      </c>
      <c r="V22">
        <f>(Gam*H22/T22*gc*144)^0.5</f>
        <v>1235.1109630311171</v>
      </c>
      <c r="W22">
        <f>V22/3.28</f>
        <v>376.55822043631622</v>
      </c>
      <c r="X22">
        <f>F22*V22</f>
        <v>546.93342938323985</v>
      </c>
      <c r="Y22">
        <f>X22/3.28</f>
        <v>166.7479967631829</v>
      </c>
      <c r="AA22">
        <f>D22/$D$131</f>
        <v>0.60514956948770926</v>
      </c>
      <c r="AB22">
        <f>F22</f>
        <v>0.4428212895471324</v>
      </c>
      <c r="AC22">
        <f>H22/$H$5</f>
        <v>0.60884269398977964</v>
      </c>
      <c r="AD22">
        <f>J22/$J$5</f>
        <v>0.66148159024345599</v>
      </c>
      <c r="AE22">
        <f>L22/$L$5</f>
        <v>0.97658639050019713</v>
      </c>
      <c r="AF22">
        <f>T22/$T$5</f>
        <v>0.62343966689719776</v>
      </c>
      <c r="AG22">
        <f>X22/$X$5</f>
        <v>1.6040044499845652</v>
      </c>
    </row>
    <row r="23" spans="3:33" x14ac:dyDescent="0.25">
      <c r="C23">
        <f>D/f</f>
        <v>14.705882352941176</v>
      </c>
      <c r="D23">
        <f>(1/Gam*(1/M_1^2-1/F23^2)+(Gam+1)/2/Gam*LN((M_1^2/F23^2)*(1+F23^2*(Gam-1)/2)/(1+M_1^2*(Gam-1)/2)))*D/f</f>
        <v>77.4444937556936</v>
      </c>
      <c r="E23">
        <f>D23/3.28</f>
        <v>23.611126145028539</v>
      </c>
      <c r="F23">
        <f>F22+0.01</f>
        <v>0.45282128954713241</v>
      </c>
      <c r="G23">
        <f>(Gam/Z/Rg)^0.5*F23*(1+F23^2*(Gam-1)/2)^(-(Gam+1)/2/(Gam-1))</f>
        <v>6.5020072500043657E-2</v>
      </c>
      <c r="H23">
        <f>J23/(1+(Gam-1)/2*F23^2)^(Gam/(Gam-1))</f>
        <v>225.96018535842302</v>
      </c>
      <c r="I23" s="21">
        <f>H23*6.89476</f>
        <v>1557.9412476018406</v>
      </c>
      <c r="J23">
        <f>mdot*P23^0.5/A/G23/gc^0.5/144</f>
        <v>260.08974939745741</v>
      </c>
      <c r="K23" s="21">
        <f>J23*6.89476</f>
        <v>1793.2564005556135</v>
      </c>
      <c r="L23">
        <f>P23/(1+(Gam-1)/2*F23^2)</f>
        <v>633.68302414728691</v>
      </c>
      <c r="M23">
        <f>L23/1.8</f>
        <v>352.04612452627049</v>
      </c>
      <c r="N23">
        <f>L23-'Example 7.1 - Pipe P1'!$C$8</f>
        <v>174.0130241472869</v>
      </c>
      <c r="O23">
        <f>M23-'Example 7.1 - Pipe P1'!$C$9</f>
        <v>78.896124526270512</v>
      </c>
      <c r="P23">
        <f>P22</f>
        <v>659.67000000000007</v>
      </c>
      <c r="Q23">
        <f>Q22</f>
        <v>366.48333333333335</v>
      </c>
      <c r="R23">
        <f>P23-'Example 7.1 - Pipe P1'!$C$8</f>
        <v>200.00000000000006</v>
      </c>
      <c r="S23">
        <f>Q23-'Example 7.1 - Pipe P1'!$C$9</f>
        <v>93.333333333333371</v>
      </c>
      <c r="T23">
        <f>H23/L23/Rg/Z*144</f>
        <v>0.96241746827061059</v>
      </c>
      <c r="U23">
        <f>T23*16.01846</f>
        <v>15.416445718794046</v>
      </c>
      <c r="V23">
        <f>(Gam*H23/T23*gc*144)^0.5</f>
        <v>1234.0478657859046</v>
      </c>
      <c r="W23">
        <f>V23/3.28</f>
        <v>376.23410542253191</v>
      </c>
      <c r="X23">
        <f>F23*V23</f>
        <v>558.80314594805986</v>
      </c>
      <c r="Y23">
        <f>X23/3.28</f>
        <v>170.36681278904265</v>
      </c>
      <c r="AA23">
        <f>D23/$D$131</f>
        <v>0.61953779231202799</v>
      </c>
      <c r="AB23">
        <f>F23</f>
        <v>0.45282128954713241</v>
      </c>
      <c r="AC23">
        <f>H23/$H$5</f>
        <v>0.59488467731403727</v>
      </c>
      <c r="AD23">
        <f>J23/$J$5</f>
        <v>0.65022437349364348</v>
      </c>
      <c r="AE23">
        <f>L23/$L$5</f>
        <v>0.97490595930853674</v>
      </c>
      <c r="AF23">
        <f>T23/$T$5</f>
        <v>0.61019698529278255</v>
      </c>
      <c r="AG23">
        <f>X23/$X$5</f>
        <v>1.6388150451451069</v>
      </c>
    </row>
    <row r="24" spans="3:33" x14ac:dyDescent="0.25">
      <c r="C24">
        <f>D/f</f>
        <v>14.705882352941176</v>
      </c>
      <c r="D24">
        <f>(1/Gam*(1/M_1^2-1/F24^2)+(Gam+1)/2/Gam*LN((M_1^2/F24^2)*(1+F24^2*(Gam-1)/2)/(1+M_1^2*(Gam-1)/2)))*D/f</f>
        <v>79.105794508752069</v>
      </c>
      <c r="E24">
        <f>D24/3.28</f>
        <v>24.11762027705856</v>
      </c>
      <c r="F24">
        <f>F23+0.01</f>
        <v>0.46282128954713242</v>
      </c>
      <c r="G24">
        <f>(Gam/Z/Rg)^0.5*F24*(1+F24^2*(Gam-1)/2)^(-(Gam+1)/2/(Gam-1))</f>
        <v>6.6106474215675531E-2</v>
      </c>
      <c r="H24">
        <f>J24/(1+(Gam-1)/2*F24^2)^(Gam/(Gam-1))</f>
        <v>220.88375355730403</v>
      </c>
      <c r="I24" s="21">
        <f>H24*6.89476</f>
        <v>1522.9404686767575</v>
      </c>
      <c r="J24">
        <f>mdot*P24^0.5/A/G24/gc^0.5/144</f>
        <v>255.81540330176657</v>
      </c>
      <c r="K24" s="21">
        <f>J24*6.89476</f>
        <v>1763.7858100688879</v>
      </c>
      <c r="L24">
        <f>P24/(1+(Gam-1)/2*F24^2)</f>
        <v>632.57024219807215</v>
      </c>
      <c r="M24">
        <f>L24/1.8</f>
        <v>351.42791233226228</v>
      </c>
      <c r="N24">
        <f>L24-'Example 7.1 - Pipe P1'!$C$8</f>
        <v>172.90024219807214</v>
      </c>
      <c r="O24">
        <f>M24-'Example 7.1 - Pipe P1'!$C$9</f>
        <v>78.277912332262304</v>
      </c>
      <c r="P24">
        <f>P23</f>
        <v>659.67000000000007</v>
      </c>
      <c r="Q24">
        <f>Q23</f>
        <v>366.48333333333335</v>
      </c>
      <c r="R24">
        <f>P24-'Example 7.1 - Pipe P1'!$C$8</f>
        <v>200.00000000000006</v>
      </c>
      <c r="S24">
        <f>Q24-'Example 7.1 - Pipe P1'!$C$9</f>
        <v>93.333333333333371</v>
      </c>
      <c r="T24">
        <f>H24/L24/Rg/Z*144</f>
        <v>0.94245074856928857</v>
      </c>
      <c r="U24">
        <f>T24*16.01846</f>
        <v>15.096609617927207</v>
      </c>
      <c r="V24">
        <f>(Gam*H24/T24*gc*144)^0.5</f>
        <v>1232.9638620079152</v>
      </c>
      <c r="W24">
        <f>V24/3.28</f>
        <v>375.90361646582784</v>
      </c>
      <c r="X24">
        <f>F24*V24</f>
        <v>570.64192457951594</v>
      </c>
      <c r="Y24">
        <f>X24/3.28</f>
        <v>173.97619651814512</v>
      </c>
      <c r="AA24">
        <f>D24/$D$131</f>
        <v>0.63282780882582934</v>
      </c>
      <c r="AB24">
        <f>F24</f>
        <v>0.46282128954713242</v>
      </c>
      <c r="AC24">
        <f>H24/$H$5</f>
        <v>0.58151997109765152</v>
      </c>
      <c r="AD24">
        <f>J24/$J$5</f>
        <v>0.63953850825441638</v>
      </c>
      <c r="AE24">
        <f>L24/$L$5</f>
        <v>0.97319397127609686</v>
      </c>
      <c r="AF24">
        <f>T24/$T$5</f>
        <v>0.59753758064811646</v>
      </c>
      <c r="AG24">
        <f>X24/$X$5</f>
        <v>1.6735349079054644</v>
      </c>
    </row>
    <row r="25" spans="3:33" x14ac:dyDescent="0.25">
      <c r="C25">
        <f>D/f</f>
        <v>14.705882352941176</v>
      </c>
      <c r="D25">
        <f>(1/Gam*(1/M_1^2-1/F25^2)+(Gam+1)/2/Gam*LN((M_1^2/F25^2)*(1+F25^2*(Gam-1)/2)/(1+M_1^2*(Gam-1)/2)))*D/f</f>
        <v>80.641843819602428</v>
      </c>
      <c r="E25">
        <f>D25/3.28</f>
        <v>24.58592799378123</v>
      </c>
      <c r="F25">
        <f>F24+0.01</f>
        <v>0.47282128954713243</v>
      </c>
      <c r="G25">
        <f>(Gam/Z/Rg)^0.5*F25*(1+F25^2*(Gam-1)/2)^(-(Gam+1)/2/(Gam-1))</f>
        <v>6.7172556310062512E-2</v>
      </c>
      <c r="H25">
        <f>J25/(1+(Gam-1)/2*F25^2)^(Gam/(Gam-1))</f>
        <v>216.01841563846571</v>
      </c>
      <c r="I25" s="21">
        <f>H25*6.89476</f>
        <v>1489.3951314074677</v>
      </c>
      <c r="J25">
        <f>mdot*P25^0.5/A/G25/gc^0.5/144</f>
        <v>251.75540862671585</v>
      </c>
      <c r="K25" s="21">
        <f>J25*6.89476</f>
        <v>1735.7931211831353</v>
      </c>
      <c r="L25">
        <f>P25/(1+(Gam-1)/2*F25^2)</f>
        <v>631.43718417622847</v>
      </c>
      <c r="M25">
        <f>L25/1.8</f>
        <v>350.79843565346027</v>
      </c>
      <c r="N25">
        <f>L25-'Example 7.1 - Pipe P1'!$C$8</f>
        <v>171.76718417622845</v>
      </c>
      <c r="O25">
        <f>M25-'Example 7.1 - Pipe P1'!$C$9</f>
        <v>77.648435653460297</v>
      </c>
      <c r="P25">
        <f>P24</f>
        <v>659.67000000000007</v>
      </c>
      <c r="Q25">
        <f>Q24</f>
        <v>366.48333333333335</v>
      </c>
      <c r="R25">
        <f>P25-'Example 7.1 - Pipe P1'!$C$8</f>
        <v>200.00000000000006</v>
      </c>
      <c r="S25">
        <f>Q25-'Example 7.1 - Pipe P1'!$C$9</f>
        <v>93.333333333333371</v>
      </c>
      <c r="T25">
        <f>H25/L25/Rg/Z*144</f>
        <v>0.92334557225747049</v>
      </c>
      <c r="U25">
        <f>T25*16.01846</f>
        <v>14.790574115383402</v>
      </c>
      <c r="V25">
        <f>(Gam*H25/T25*gc*144)^0.5</f>
        <v>1231.8591264018598</v>
      </c>
      <c r="W25">
        <f>V25/3.28</f>
        <v>375.56680682983534</v>
      </c>
      <c r="X25">
        <f>F25*V25</f>
        <v>582.44922068573135</v>
      </c>
      <c r="Y25">
        <f>X25/3.28</f>
        <v>177.57598191638152</v>
      </c>
      <c r="AA25">
        <f>D25/$D$131</f>
        <v>0.64511584316857662</v>
      </c>
      <c r="AB25">
        <f>F25</f>
        <v>0.47282128954713243</v>
      </c>
      <c r="AC25">
        <f>H25/$H$5</f>
        <v>0.56871101108869748</v>
      </c>
      <c r="AD25">
        <f>J25/$J$5</f>
        <v>0.62938852156678959</v>
      </c>
      <c r="AE25">
        <f>L25/$L$5</f>
        <v>0.97145078899782111</v>
      </c>
      <c r="AF25">
        <f>T25/$T$5</f>
        <v>0.58542441627475283</v>
      </c>
      <c r="AG25">
        <f>X25/$X$5</f>
        <v>1.7081624411283136</v>
      </c>
    </row>
    <row r="26" spans="3:33" x14ac:dyDescent="0.25">
      <c r="C26">
        <f>D/f</f>
        <v>14.705882352941176</v>
      </c>
      <c r="D26">
        <f>(1/Gam*(1/M_1^2-1/F26^2)+(Gam+1)/2/Gam*LN((M_1^2/F26^2)*(1+F26^2*(Gam-1)/2)/(1+M_1^2*(Gam-1)/2)))*D/f</f>
        <v>82.063416315625474</v>
      </c>
      <c r="E26">
        <f>D26/3.28</f>
        <v>25.019334242568743</v>
      </c>
      <c r="F26">
        <f>F25+0.01</f>
        <v>0.48282128954713244</v>
      </c>
      <c r="G26">
        <f>(Gam/Z/Rg)^0.5*F26*(1+F26^2*(Gam-1)/2)^(-(Gam+1)/2/(Gam-1))</f>
        <v>6.8218134081147977E-2</v>
      </c>
      <c r="H26">
        <f>J26/(1+(Gam-1)/2*F26^2)^(Gam/(Gam-1))</f>
        <v>211.35108575600455</v>
      </c>
      <c r="I26" s="21">
        <f>H26*6.89476</f>
        <v>1457.2150120270699</v>
      </c>
      <c r="J26">
        <f>mdot*P26^0.5/A/G26/gc^0.5/144</f>
        <v>247.89675927260845</v>
      </c>
      <c r="K26" s="21">
        <f>J26*6.89476</f>
        <v>1709.1886599624097</v>
      </c>
      <c r="L26">
        <f>P26/(1+(Gam-1)/2*F26^2)</f>
        <v>630.28408874824538</v>
      </c>
      <c r="M26">
        <f>L26/1.8</f>
        <v>350.15782708235855</v>
      </c>
      <c r="N26">
        <f>L26-'Example 7.1 - Pipe P1'!$C$8</f>
        <v>170.61408874824536</v>
      </c>
      <c r="O26">
        <f>M26-'Example 7.1 - Pipe P1'!$C$9</f>
        <v>77.007827082358574</v>
      </c>
      <c r="P26">
        <f>P25</f>
        <v>659.67000000000007</v>
      </c>
      <c r="Q26">
        <f>Q25</f>
        <v>366.48333333333335</v>
      </c>
      <c r="R26">
        <f>P26-'Example 7.1 - Pipe P1'!$C$8</f>
        <v>200.00000000000006</v>
      </c>
      <c r="S26">
        <f>Q26-'Example 7.1 - Pipe P1'!$C$9</f>
        <v>93.333333333333371</v>
      </c>
      <c r="T26">
        <f>H26/L26/Rg/Z*144</f>
        <v>0.90504836289854074</v>
      </c>
      <c r="U26">
        <f>T26*16.01846</f>
        <v>14.49748099915576</v>
      </c>
      <c r="V26">
        <f>(Gam*H26/T26*gc*144)^0.5</f>
        <v>1230.733836157503</v>
      </c>
      <c r="W26">
        <f>V26/3.28</f>
        <v>375.22373053582413</v>
      </c>
      <c r="X26">
        <f>F26*V26</f>
        <v>594.22449786285483</v>
      </c>
      <c r="Y26">
        <f>X26/3.28</f>
        <v>181.16600544599234</v>
      </c>
      <c r="AA26">
        <f>D26/$D$131</f>
        <v>0.6564880898330836</v>
      </c>
      <c r="AB26">
        <f>F26</f>
        <v>0.48282128954713244</v>
      </c>
      <c r="AC26">
        <f>H26/$H$5</f>
        <v>0.55642334622135869</v>
      </c>
      <c r="AD26">
        <f>J26/$J$5</f>
        <v>0.61974189818152114</v>
      </c>
      <c r="AE26">
        <f>L26/$L$5</f>
        <v>0.96967677965631338</v>
      </c>
      <c r="AF26">
        <f>T26/$T$5</f>
        <v>0.57382352335855058</v>
      </c>
      <c r="AG26">
        <f>X26/$X$5</f>
        <v>1.7426960716895441</v>
      </c>
    </row>
    <row r="27" spans="3:33" x14ac:dyDescent="0.25">
      <c r="C27">
        <f>D/f</f>
        <v>14.705882352941176</v>
      </c>
      <c r="D27">
        <f>(1/Gam*(1/M_1^2-1/F27^2)+(Gam+1)/2/Gam*LN((M_1^2/F27^2)*(1+F27^2*(Gam-1)/2)/(1+M_1^2*(Gam-1)/2)))*D/f</f>
        <v>83.380185218158687</v>
      </c>
      <c r="E27">
        <f>D27/3.28</f>
        <v>25.420788176267894</v>
      </c>
      <c r="F27">
        <f>F26+0.01</f>
        <v>0.49282128954713245</v>
      </c>
      <c r="G27">
        <f>(Gam/Z/Rg)^0.5*F27*(1+F27^2*(Gam-1)/2)^(-(Gam+1)/2/(Gam-1))</f>
        <v>6.9243035752253726E-2</v>
      </c>
      <c r="H27">
        <f>J27/(1+(Gam-1)/2*F27^2)^(Gam/(Gam-1))</f>
        <v>206.86974058658171</v>
      </c>
      <c r="I27" s="21">
        <f>H27*6.89476</f>
        <v>1426.31721260674</v>
      </c>
      <c r="J27">
        <f>mdot*P27^0.5/A/G27/gc^0.5/144</f>
        <v>244.22751224899105</v>
      </c>
      <c r="K27" s="21">
        <f>J27*6.89476</f>
        <v>1683.8900823538534</v>
      </c>
      <c r="L27">
        <f>P27/(1+(Gam-1)/2*F27^2)</f>
        <v>629.11119744491225</v>
      </c>
      <c r="M27">
        <f>L27/1.8</f>
        <v>349.50622080272905</v>
      </c>
      <c r="N27">
        <f>L27-'Example 7.1 - Pipe P1'!$C$8</f>
        <v>169.44119744491223</v>
      </c>
      <c r="O27">
        <f>M27-'Example 7.1 - Pipe P1'!$C$9</f>
        <v>76.356220802729069</v>
      </c>
      <c r="P27">
        <f>P26</f>
        <v>659.67000000000007</v>
      </c>
      <c r="Q27">
        <f>Q26</f>
        <v>366.48333333333335</v>
      </c>
      <c r="R27">
        <f>P27-'Example 7.1 - Pipe P1'!$C$8</f>
        <v>200.00000000000006</v>
      </c>
      <c r="S27">
        <f>Q27-'Example 7.1 - Pipe P1'!$C$9</f>
        <v>93.333333333333371</v>
      </c>
      <c r="T27">
        <f>H27/L27/Rg/Z*144</f>
        <v>0.88750989187197193</v>
      </c>
      <c r="U27">
        <f>T27*16.01846</f>
        <v>14.216541702555508</v>
      </c>
      <c r="V27">
        <f>(Gam*H27/T27*gc*144)^0.5</f>
        <v>1229.588170875599</v>
      </c>
      <c r="W27">
        <f>V27/3.28</f>
        <v>374.87444234012167</v>
      </c>
      <c r="X27">
        <f>F27*V27</f>
        <v>605.96722798281257</v>
      </c>
      <c r="Y27">
        <f>X27/3.28</f>
        <v>184.74610609232093</v>
      </c>
      <c r="AA27">
        <f>D27/$D$131</f>
        <v>0.66702193232205442</v>
      </c>
      <c r="AB27">
        <f>F27</f>
        <v>0.49282128954713245</v>
      </c>
      <c r="AC27">
        <f>H27/$H$5</f>
        <v>0.54462532272967035</v>
      </c>
      <c r="AD27">
        <f>J27/$J$5</f>
        <v>0.61056878062247766</v>
      </c>
      <c r="AE27">
        <f>L27/$L$5</f>
        <v>0.96787231484083358</v>
      </c>
      <c r="AF27">
        <f>T27/$T$5</f>
        <v>0.56270368971059359</v>
      </c>
      <c r="AG27">
        <f>X27/$X$5</f>
        <v>1.7771342507356123</v>
      </c>
    </row>
    <row r="28" spans="3:33" x14ac:dyDescent="0.25">
      <c r="C28">
        <f>D/f</f>
        <v>14.705882352941176</v>
      </c>
      <c r="D28">
        <f>(1/Gam*(1/M_1^2-1/F28^2)+(Gam+1)/2/Gam*LN((M_1^2/F28^2)*(1+F28^2*(Gam-1)/2)/(1+M_1^2*(Gam-1)/2)))*D/f</f>
        <v>84.600853585215631</v>
      </c>
      <c r="E28">
        <f>D28/3.28</f>
        <v>25.79294316622428</v>
      </c>
      <c r="F28">
        <f>F27+0.01</f>
        <v>0.50282128954713246</v>
      </c>
      <c r="G28">
        <f>(Gam/Z/Rg)^0.5*F28*(1+F28^2*(Gam-1)/2)^(-(Gam+1)/2/(Gam-1))</f>
        <v>7.0247102438341341E-2</v>
      </c>
      <c r="H28">
        <f>J28/(1+(Gam-1)/2*F28^2)^(Gam/(Gam-1))</f>
        <v>202.56331366105709</v>
      </c>
      <c r="I28" s="21">
        <f>H28*6.89476</f>
        <v>1396.6254324977099</v>
      </c>
      <c r="J28">
        <f>mdot*P28^0.5/A/G28/gc^0.5/144</f>
        <v>240.73668201737388</v>
      </c>
      <c r="K28" s="21">
        <f>J28*6.89476</f>
        <v>1659.8216457061087</v>
      </c>
      <c r="L28">
        <f>P28/(1+(Gam-1)/2*F28^2)</f>
        <v>627.91875454330079</v>
      </c>
      <c r="M28">
        <f>L28/1.8</f>
        <v>348.84375252405601</v>
      </c>
      <c r="N28">
        <f>L28-'Example 7.1 - Pipe P1'!$C$8</f>
        <v>168.24875454330078</v>
      </c>
      <c r="O28">
        <f>M28-'Example 7.1 - Pipe P1'!$C$9</f>
        <v>75.693752524056038</v>
      </c>
      <c r="P28">
        <f>P27</f>
        <v>659.67000000000007</v>
      </c>
      <c r="Q28">
        <f>Q27</f>
        <v>366.48333333333335</v>
      </c>
      <c r="R28">
        <f>P28-'Example 7.1 - Pipe P1'!$C$8</f>
        <v>200.00000000000006</v>
      </c>
      <c r="S28">
        <f>Q28-'Example 7.1 - Pipe P1'!$C$9</f>
        <v>93.333333333333371</v>
      </c>
      <c r="T28">
        <f>H28/L28/Rg/Z*144</f>
        <v>0.87068484604246055</v>
      </c>
      <c r="U28">
        <f>T28*16.01846</f>
        <v>13.947030378937313</v>
      </c>
      <c r="V28">
        <f>(Gam*H28/T28*gc*144)^0.5</f>
        <v>1228.4223124934108</v>
      </c>
      <c r="W28">
        <f>V28/3.28</f>
        <v>374.51899771140575</v>
      </c>
      <c r="X28">
        <f>F28*V28</f>
        <v>617.67689127640733</v>
      </c>
      <c r="Y28">
        <f>X28/3.28</f>
        <v>188.3161253891486</v>
      </c>
      <c r="AA28">
        <f>D28/$D$131</f>
        <v>0.67678699305906764</v>
      </c>
      <c r="AB28">
        <f>F28</f>
        <v>0.50282128954713246</v>
      </c>
      <c r="AC28">
        <f>H28/$H$5</f>
        <v>0.53328780595474123</v>
      </c>
      <c r="AD28">
        <f>J28/$J$5</f>
        <v>0.6018417050434347</v>
      </c>
      <c r="AE28">
        <f>L28/$L$5</f>
        <v>0.96603777036573024</v>
      </c>
      <c r="AF28">
        <f>T28/$T$5</f>
        <v>0.55203618565850165</v>
      </c>
      <c r="AG28">
        <f>X28/$X$5</f>
        <v>1.811475453927246</v>
      </c>
    </row>
    <row r="29" spans="3:33" x14ac:dyDescent="0.25">
      <c r="C29">
        <f>D/f</f>
        <v>14.705882352941176</v>
      </c>
      <c r="D29">
        <f>(1/Gam*(1/M_1^2-1/F29^2)+(Gam+1)/2/Gam*LN((M_1^2/F29^2)*(1+F29^2*(Gam-1)/2)/(1+M_1^2*(Gam-1)/2)))*D/f</f>
        <v>85.733267728125512</v>
      </c>
      <c r="E29">
        <f>D29/3.28</f>
        <v>26.138191380526074</v>
      </c>
      <c r="F29">
        <f>F28+0.01</f>
        <v>0.51282128954713246</v>
      </c>
      <c r="G29">
        <f>(Gam/Z/Rg)^0.5*F29*(1+F29^2*(Gam-1)/2)^(-(Gam+1)/2/(Gam-1))</f>
        <v>7.1230188099565925E-2</v>
      </c>
      <c r="H29">
        <f>J29/(1+(Gam-1)/2*F29^2)^(Gam/(Gam-1))</f>
        <v>198.42160205924773</v>
      </c>
      <c r="I29" s="21">
        <f>H29*6.89476</f>
        <v>1368.0693250140189</v>
      </c>
      <c r="J29">
        <f>mdot*P29^0.5/A/G29/gc^0.5/144</f>
        <v>237.41414719700737</v>
      </c>
      <c r="K29" s="21">
        <f>J29*6.89476</f>
        <v>1636.9135655280384</v>
      </c>
      <c r="L29">
        <f>P29/(1+(Gam-1)/2*F29^2)</f>
        <v>626.70700694848256</v>
      </c>
      <c r="M29">
        <f>L29/1.8</f>
        <v>348.17055941582362</v>
      </c>
      <c r="N29">
        <f>L29-'Example 7.1 - Pipe P1'!$C$8</f>
        <v>167.03700694848254</v>
      </c>
      <c r="O29">
        <f>M29-'Example 7.1 - Pipe P1'!$C$9</f>
        <v>75.020559415823641</v>
      </c>
      <c r="P29">
        <f>P28</f>
        <v>659.67000000000007</v>
      </c>
      <c r="Q29">
        <f>Q28</f>
        <v>366.48333333333335</v>
      </c>
      <c r="R29">
        <f>P29-'Example 7.1 - Pipe P1'!$C$8</f>
        <v>200.00000000000006</v>
      </c>
      <c r="S29">
        <f>Q29-'Example 7.1 - Pipe P1'!$C$9</f>
        <v>93.333333333333371</v>
      </c>
      <c r="T29">
        <f>H29/L29/Rg/Z*144</f>
        <v>0.85453144601181252</v>
      </c>
      <c r="U29">
        <f>T29*16.01846</f>
        <v>13.688277786682379</v>
      </c>
      <c r="V29">
        <f>(Gam*H29/T29*gc*144)^0.5</f>
        <v>1227.2364452098732</v>
      </c>
      <c r="W29">
        <f>V29/3.28</f>
        <v>374.15745280788821</v>
      </c>
      <c r="X29">
        <f>F29*V29</f>
        <v>629.35297641176589</v>
      </c>
      <c r="Y29">
        <f>X29/3.28</f>
        <v>191.87590744261158</v>
      </c>
      <c r="AA29">
        <f>D29/$D$131</f>
        <v>0.6858460406951008</v>
      </c>
      <c r="AB29">
        <f>F29</f>
        <v>0.51282128954713246</v>
      </c>
      <c r="AC29">
        <f>H29/$H$5</f>
        <v>0.5223839347003344</v>
      </c>
      <c r="AD29">
        <f>J29/$J$5</f>
        <v>0.59353536799251838</v>
      </c>
      <c r="AE29">
        <f>L29/$L$5</f>
        <v>0.96417352608846607</v>
      </c>
      <c r="AF29">
        <f>T29/$T$5</f>
        <v>0.54179452200848333</v>
      </c>
      <c r="AG29">
        <f>X29/$X$5</f>
        <v>1.8457181816695112</v>
      </c>
    </row>
    <row r="30" spans="3:33" x14ac:dyDescent="0.25">
      <c r="C30">
        <f>D/f</f>
        <v>14.705882352941176</v>
      </c>
      <c r="D30">
        <f>(1/Gam*(1/M_1^2-1/F30^2)+(Gam+1)/2/Gam*LN((M_1^2/F30^2)*(1+F30^2*(Gam-1)/2)/(1+M_1^2*(Gam-1)/2)))*D/f</f>
        <v>86.784515511686749</v>
      </c>
      <c r="E30">
        <f>D30/3.28</f>
        <v>26.458693753563036</v>
      </c>
      <c r="F30">
        <f>F29+0.01</f>
        <v>0.52282128954713247</v>
      </c>
      <c r="G30">
        <f>(Gam/Z/Rg)^0.5*F30*(1+F30^2*(Gam-1)/2)^(-(Gam+1)/2/(Gam-1))</f>
        <v>7.219215948239513E-2</v>
      </c>
      <c r="H30">
        <f>J30/(1+(Gam-1)/2*F30^2)^(Gam/(Gam-1))</f>
        <v>194.43518381252849</v>
      </c>
      <c r="I30" s="21">
        <f>H30*6.89476</f>
        <v>1340.5839279432689</v>
      </c>
      <c r="J30">
        <f>mdot*P30^0.5/A/G30/gc^0.5/144</f>
        <v>234.25056797843567</v>
      </c>
      <c r="K30" s="21">
        <f>J30*6.89476</f>
        <v>1615.1014460749991</v>
      </c>
      <c r="L30">
        <f>P30/(1+(Gam-1)/2*F30^2)</f>
        <v>625.47620407507577</v>
      </c>
      <c r="M30">
        <f>L30/1.8</f>
        <v>347.48678004170876</v>
      </c>
      <c r="N30">
        <f>L30-'Example 7.1 - Pipe P1'!$C$8</f>
        <v>165.80620407507575</v>
      </c>
      <c r="O30">
        <f>M30-'Example 7.1 - Pipe P1'!$C$9</f>
        <v>74.336780041708778</v>
      </c>
      <c r="P30">
        <f>P29</f>
        <v>659.67000000000007</v>
      </c>
      <c r="Q30">
        <f>Q29</f>
        <v>366.48333333333335</v>
      </c>
      <c r="R30">
        <f>P30-'Example 7.1 - Pipe P1'!$C$8</f>
        <v>200.00000000000006</v>
      </c>
      <c r="S30">
        <f>Q30-'Example 7.1 - Pipe P1'!$C$9</f>
        <v>93.333333333333371</v>
      </c>
      <c r="T30">
        <f>H30/L30/Rg/Z*144</f>
        <v>0.83901110818108171</v>
      </c>
      <c r="U30">
        <f>T30*16.01846</f>
        <v>13.439665875954331</v>
      </c>
      <c r="V30">
        <f>(Gam*H30/T30*gc*144)^0.5</f>
        <v>1226.0307554104531</v>
      </c>
      <c r="W30">
        <f>V30/3.28</f>
        <v>373.78986445440648</v>
      </c>
      <c r="X30">
        <f>F30*V30</f>
        <v>640.99498056813809</v>
      </c>
      <c r="Y30">
        <f>X30/3.28</f>
        <v>195.42529895370066</v>
      </c>
      <c r="AA30">
        <f>D30/$D$131</f>
        <v>0.69425577648671166</v>
      </c>
      <c r="AB30">
        <f>F30</f>
        <v>0.52282128954713247</v>
      </c>
      <c r="AC30">
        <f>H30/$H$5</f>
        <v>0.51188890377895013</v>
      </c>
      <c r="AD30">
        <f>J30/$J$5</f>
        <v>0.58562641994608922</v>
      </c>
      <c r="AE30">
        <f>L30/$L$5</f>
        <v>0.96227996572738006</v>
      </c>
      <c r="AF30">
        <f>T30/$T$5</f>
        <v>0.53195423578419532</v>
      </c>
      <c r="AG30">
        <f>X30/$X$5</f>
        <v>1.8798609593282434</v>
      </c>
    </row>
    <row r="31" spans="3:33" x14ac:dyDescent="0.25">
      <c r="C31">
        <f>D/f</f>
        <v>14.705882352941176</v>
      </c>
      <c r="D31">
        <f>(1/Gam*(1/M_1^2-1/F31^2)+(Gam+1)/2/Gam*LN((M_1^2/F31^2)*(1+F31^2*(Gam-1)/2)/(1+M_1^2*(Gam-1)/2)))*D/f</f>
        <v>87.761011793179676</v>
      </c>
      <c r="E31">
        <f>D31/3.28</f>
        <v>26.756406034506</v>
      </c>
      <c r="F31">
        <f>F30+0.01</f>
        <v>0.53282128954713248</v>
      </c>
      <c r="G31">
        <f>(Gam/Z/Rg)^0.5*F31*(1+F31^2*(Gam-1)/2)^(-(Gam+1)/2/(Gam-1))</f>
        <v>7.3132896048581031E-2</v>
      </c>
      <c r="H31">
        <f>J31/(1+(Gam-1)/2*F31^2)^(Gam/(Gam-1))</f>
        <v>190.59534460753403</v>
      </c>
      <c r="I31" s="21">
        <f>H31*6.89476</f>
        <v>1314.1091581862413</v>
      </c>
      <c r="J31">
        <f>mdot*P31^0.5/A/G31/gc^0.5/144</f>
        <v>231.23731283808482</v>
      </c>
      <c r="K31" s="21">
        <f>J31*6.89476</f>
        <v>1594.3257750635137</v>
      </c>
      <c r="L31">
        <f>P31/(1+(Gam-1)/2*F31^2)</f>
        <v>624.2265977287226</v>
      </c>
      <c r="M31">
        <f>L31/1.8</f>
        <v>346.79255429373478</v>
      </c>
      <c r="N31">
        <f>L31-'Example 7.1 - Pipe P1'!$C$8</f>
        <v>164.55659772872258</v>
      </c>
      <c r="O31">
        <f>M31-'Example 7.1 - Pipe P1'!$C$9</f>
        <v>73.642554293734804</v>
      </c>
      <c r="P31">
        <f>P30</f>
        <v>659.67000000000007</v>
      </c>
      <c r="Q31">
        <f>Q30</f>
        <v>366.48333333333335</v>
      </c>
      <c r="R31">
        <f>P31-'Example 7.1 - Pipe P1'!$C$8</f>
        <v>200.00000000000006</v>
      </c>
      <c r="S31">
        <f>Q31-'Example 7.1 - Pipe P1'!$C$9</f>
        <v>93.333333333333371</v>
      </c>
      <c r="T31">
        <f>H31/L31/Rg/Z*144</f>
        <v>0.82408814486735371</v>
      </c>
      <c r="U31">
        <f>T31*16.01846</f>
        <v>13.200622985031911</v>
      </c>
      <c r="V31">
        <f>(Gam*H31/T31*gc*144)^0.5</f>
        <v>1224.8054315917593</v>
      </c>
      <c r="W31">
        <f>V31/3.28</f>
        <v>373.41629011943883</v>
      </c>
      <c r="X31">
        <f>F31*V31</f>
        <v>652.6024095050534</v>
      </c>
      <c r="Y31">
        <f>X31/3.28</f>
        <v>198.96414923934557</v>
      </c>
      <c r="AA31">
        <f>D31/$D$131</f>
        <v>0.70206751778810739</v>
      </c>
      <c r="AB31">
        <f>F31</f>
        <v>0.53282128954713248</v>
      </c>
      <c r="AC31">
        <f>H31/$H$5</f>
        <v>0.50177977104489091</v>
      </c>
      <c r="AD31">
        <f>J31/$J$5</f>
        <v>0.57809328209521205</v>
      </c>
      <c r="AE31">
        <f>L31/$L$5</f>
        <v>0.96035747667934412</v>
      </c>
      <c r="AF31">
        <f>T31/$T$5</f>
        <v>0.52249270009320847</v>
      </c>
      <c r="AG31">
        <f>X31/$X$5</f>
        <v>1.9139023374328641</v>
      </c>
    </row>
    <row r="32" spans="3:33" x14ac:dyDescent="0.25">
      <c r="C32">
        <f>D/f</f>
        <v>14.705882352941176</v>
      </c>
      <c r="D32">
        <f>(1/Gam*(1/M_1^2-1/F32^2)+(Gam+1)/2/Gam*LN((M_1^2/F32^2)*(1+F32^2*(Gam-1)/2)/(1+M_1^2*(Gam-1)/2)))*D/f</f>
        <v>88.668572884350652</v>
      </c>
      <c r="E32">
        <f>D32/3.28</f>
        <v>27.033101489131298</v>
      </c>
      <c r="F32">
        <f>F31+0.01</f>
        <v>0.54282128954713249</v>
      </c>
      <c r="G32">
        <f>(Gam/Z/Rg)^0.5*F32*(1+F32^2*(Gam-1)/2)^(-(Gam+1)/2/(Gam-1))</f>
        <v>7.4052289892289E-2</v>
      </c>
      <c r="H32">
        <f>J32/(1+(Gam-1)/2*F32^2)^(Gam/(Gam-1))</f>
        <v>186.89401259153419</v>
      </c>
      <c r="I32" s="21">
        <f>H32*6.89476</f>
        <v>1288.5893622556061</v>
      </c>
      <c r="J32">
        <f>mdot*P32^0.5/A/G32/gc^0.5/144</f>
        <v>228.36639335445864</v>
      </c>
      <c r="K32" s="21">
        <f>J32*6.89476</f>
        <v>1574.5314742445871</v>
      </c>
      <c r="L32">
        <f>P32/(1+(Gam-1)/2*F32^2)</f>
        <v>622.95844198758664</v>
      </c>
      <c r="M32">
        <f>L32/1.8</f>
        <v>346.088023326437</v>
      </c>
      <c r="N32">
        <f>L32-'Example 7.1 - Pipe P1'!$C$8</f>
        <v>163.28844198758662</v>
      </c>
      <c r="O32">
        <f>M32-'Example 7.1 - Pipe P1'!$C$9</f>
        <v>72.938023326437019</v>
      </c>
      <c r="P32">
        <f>P31</f>
        <v>659.67000000000007</v>
      </c>
      <c r="Q32">
        <f>Q31</f>
        <v>366.48333333333335</v>
      </c>
      <c r="R32">
        <f>P32-'Example 7.1 - Pipe P1'!$C$8</f>
        <v>200.00000000000006</v>
      </c>
      <c r="S32">
        <f>Q32-'Example 7.1 - Pipe P1'!$C$9</f>
        <v>93.333333333333371</v>
      </c>
      <c r="T32">
        <f>H32/L32/Rg/Z*144</f>
        <v>0.80972949756778334</v>
      </c>
      <c r="U32">
        <f>T32*16.01846</f>
        <v>12.970619567609635</v>
      </c>
      <c r="V32">
        <f>(Gam*H32/T32*gc*144)^0.5</f>
        <v>1223.5606642859605</v>
      </c>
      <c r="W32">
        <f>V32/3.28</f>
        <v>373.03678789206111</v>
      </c>
      <c r="X32">
        <f>F32*V32</f>
        <v>664.1747776268511</v>
      </c>
      <c r="Y32">
        <f>X32/3.28</f>
        <v>202.49231025208877</v>
      </c>
      <c r="AA32">
        <f>D32/$D$131</f>
        <v>0.70932779372955901</v>
      </c>
      <c r="AB32">
        <f>F32</f>
        <v>0.54282128954713249</v>
      </c>
      <c r="AC32">
        <f>H32/$H$5</f>
        <v>0.49203528575657551</v>
      </c>
      <c r="AD32">
        <f>J32/$J$5</f>
        <v>0.57091598338614657</v>
      </c>
      <c r="AE32">
        <f>L32/$L$5</f>
        <v>0.95840644983744883</v>
      </c>
      <c r="AF32">
        <f>T32/$T$5</f>
        <v>0.51338895500966986</v>
      </c>
      <c r="AG32">
        <f>X32/$X$5</f>
        <v>1.9478408918656311</v>
      </c>
    </row>
    <row r="33" spans="3:33" x14ac:dyDescent="0.25">
      <c r="C33">
        <f>D/f</f>
        <v>14.705882352941176</v>
      </c>
      <c r="D33">
        <f>(1/Gam*(1/M_1^2-1/F33^2)+(Gam+1)/2/Gam*LN((M_1^2/F33^2)*(1+F33^2*(Gam-1)/2)/(1+M_1^2*(Gam-1)/2)))*D/f</f>
        <v>89.51248161587948</v>
      </c>
      <c r="E33">
        <f>D33/3.28</f>
        <v>27.290390736548623</v>
      </c>
      <c r="F33">
        <f>F32+0.01</f>
        <v>0.5528212895471325</v>
      </c>
      <c r="G33">
        <f>(Gam/Z/Rg)^0.5*F33*(1+F33^2*(Gam-1)/2)^(-(Gam+1)/2/(Gam-1))</f>
        <v>7.495024564569909E-2</v>
      </c>
      <c r="H33">
        <f>J33/(1+(Gam-1)/2*F33^2)^(Gam/(Gam-1))</f>
        <v>183.32370025363386</v>
      </c>
      <c r="I33" s="21">
        <f>H33*6.89476</f>
        <v>1263.9729155607445</v>
      </c>
      <c r="J33">
        <f>mdot*P33^0.5/A/G33/gc^0.5/144</f>
        <v>225.63040610009375</v>
      </c>
      <c r="K33" s="21">
        <f>J33*6.89476</f>
        <v>1555.6674987626823</v>
      </c>
      <c r="L33">
        <f>P33/(1+(Gam-1)/2*F33^2)</f>
        <v>621.67199308396869</v>
      </c>
      <c r="M33">
        <f>L33/1.8</f>
        <v>345.37332949109373</v>
      </c>
      <c r="N33">
        <f>L33-'Example 7.1 - Pipe P1'!$C$8</f>
        <v>162.00199308396867</v>
      </c>
      <c r="O33">
        <f>M33-'Example 7.1 - Pipe P1'!$C$9</f>
        <v>72.22332949109375</v>
      </c>
      <c r="P33">
        <f>P32</f>
        <v>659.67000000000007</v>
      </c>
      <c r="Q33">
        <f>Q32</f>
        <v>366.48333333333335</v>
      </c>
      <c r="R33">
        <f>P33-'Example 7.1 - Pipe P1'!$C$8</f>
        <v>200.00000000000006</v>
      </c>
      <c r="S33">
        <f>Q33-'Example 7.1 - Pipe P1'!$C$9</f>
        <v>93.333333333333371</v>
      </c>
      <c r="T33">
        <f>H33/L33/Rg/Z*144</f>
        <v>0.79590449917367856</v>
      </c>
      <c r="U33">
        <f>T33*16.01846</f>
        <v>12.749164383833604</v>
      </c>
      <c r="V33">
        <f>(Gam*H33/T33*gc*144)^0.5</f>
        <v>1222.2966459850627</v>
      </c>
      <c r="W33">
        <f>V33/3.28</f>
        <v>372.65141645886058</v>
      </c>
      <c r="X33">
        <f>F33*V33</f>
        <v>675.71160804259728</v>
      </c>
      <c r="Y33">
        <f>X33/3.28</f>
        <v>206.00963659835284</v>
      </c>
      <c r="AA33">
        <f>D33/$D$131</f>
        <v>0.71607886571788582</v>
      </c>
      <c r="AB33">
        <f>F33</f>
        <v>0.5528212895471325</v>
      </c>
      <c r="AC33">
        <f>H33/$H$5</f>
        <v>0.48263573556735456</v>
      </c>
      <c r="AD33">
        <f>J33/$J$5</f>
        <v>0.56407601525023443</v>
      </c>
      <c r="AE33">
        <f>L33/$L$5</f>
        <v>0.95642727940887251</v>
      </c>
      <c r="AF33">
        <f>T33/$T$5</f>
        <v>0.50462355681202586</v>
      </c>
      <c r="AG33">
        <f>X33/$X$5</f>
        <v>1.9816752240373579</v>
      </c>
    </row>
    <row r="34" spans="3:33" x14ac:dyDescent="0.25">
      <c r="C34">
        <f>D/f</f>
        <v>14.705882352941176</v>
      </c>
      <c r="D34">
        <f>(1/Gam*(1/M_1^2-1/F34^2)+(Gam+1)/2/Gam*LN((M_1^2/F34^2)*(1+F34^2*(Gam-1)/2)/(1+M_1^2*(Gam-1)/2)))*D/f</f>
        <v>90.297544332956292</v>
      </c>
      <c r="E34">
        <f>D34/3.28</f>
        <v>27.529739125901312</v>
      </c>
      <c r="F34">
        <f>F33+0.01</f>
        <v>0.56282128954713251</v>
      </c>
      <c r="G34">
        <f>(Gam/Z/Rg)^0.5*F34*(1+F34^2*(Gam-1)/2)^(-(Gam+1)/2/(Gam-1))</f>
        <v>7.5826680373410865E-2</v>
      </c>
      <c r="H34">
        <f>J34/(1+(Gam-1)/2*F34^2)^(Gam/(Gam-1))</f>
        <v>179.87745250175954</v>
      </c>
      <c r="I34" s="21">
        <f>H34*6.89476</f>
        <v>1240.2118644110315</v>
      </c>
      <c r="J34">
        <f>mdot*P34^0.5/A/G34/gc^0.5/144</f>
        <v>223.02248072923476</v>
      </c>
      <c r="K34" s="21">
        <f>J34*6.89476</f>
        <v>1537.6864792326985</v>
      </c>
      <c r="L34">
        <f>P34/(1+(Gam-1)/2*F34^2)</f>
        <v>620.36750928612946</v>
      </c>
      <c r="M34">
        <f>L34/1.8</f>
        <v>344.6486162700719</v>
      </c>
      <c r="N34">
        <f>L34-'Example 7.1 - Pipe P1'!$C$8</f>
        <v>160.69750928612945</v>
      </c>
      <c r="O34">
        <f>M34-'Example 7.1 - Pipe P1'!$C$9</f>
        <v>71.498616270071921</v>
      </c>
      <c r="P34">
        <f>P33</f>
        <v>659.67000000000007</v>
      </c>
      <c r="Q34">
        <f>Q33</f>
        <v>366.48333333333335</v>
      </c>
      <c r="R34">
        <f>P34-'Example 7.1 - Pipe P1'!$C$8</f>
        <v>200.00000000000006</v>
      </c>
      <c r="S34">
        <f>Q34-'Example 7.1 - Pipe P1'!$C$9</f>
        <v>93.333333333333371</v>
      </c>
      <c r="T34">
        <f>H34/L34/Rg/Z*144</f>
        <v>0.78258466153400308</v>
      </c>
      <c r="U34">
        <f>T34*16.01846</f>
        <v>12.535801097395968</v>
      </c>
      <c r="V34">
        <f>(Gam*H34/T34*gc*144)^0.5</f>
        <v>1221.0135710651007</v>
      </c>
      <c r="W34">
        <f>V34/3.28</f>
        <v>372.26023508082341</v>
      </c>
      <c r="X34">
        <f>F34*V34</f>
        <v>687.21243262140933</v>
      </c>
      <c r="Y34">
        <f>X34/3.28</f>
        <v>209.51598555530774</v>
      </c>
      <c r="AA34">
        <f>D34/$D$131</f>
        <v>0.72235918338770722</v>
      </c>
      <c r="AB34">
        <f>F34</f>
        <v>0.56282128954713251</v>
      </c>
      <c r="AC34">
        <f>H34/$H$5</f>
        <v>0.47356280982795473</v>
      </c>
      <c r="AD34">
        <f>J34/$J$5</f>
        <v>0.55755620182308685</v>
      </c>
      <c r="AE34">
        <f>L34/$L$5</f>
        <v>0.95442036273306885</v>
      </c>
      <c r="AF34">
        <f>T34/$T$5</f>
        <v>0.49617844329291638</v>
      </c>
      <c r="AG34">
        <f>X34/$X$5</f>
        <v>2.0154039610496648</v>
      </c>
    </row>
    <row r="35" spans="3:33" x14ac:dyDescent="0.25">
      <c r="C35">
        <f>D/f</f>
        <v>14.705882352941176</v>
      </c>
      <c r="D35">
        <f>(1/Gam*(1/M_1^2-1/F35^2)+(Gam+1)/2/Gam*LN((M_1^2/F35^2)*(1+F35^2*(Gam-1)/2)/(1+M_1^2*(Gam-1)/2)))*D/f</f>
        <v>91.028140943188234</v>
      </c>
      <c r="E35">
        <f>D35/3.28</f>
        <v>27.752481994874461</v>
      </c>
      <c r="F35">
        <f>F34+0.01</f>
        <v>0.57282128954713252</v>
      </c>
      <c r="G35">
        <f>(Gam/Z/Rg)^0.5*F35*(1+F35^2*(Gam-1)/2)^(-(Gam+1)/2/(Gam-1))</f>
        <v>7.6681523455991732E-2</v>
      </c>
      <c r="H35">
        <f>J35/(1+(Gam-1)/2*F35^2)^(Gam/(Gam-1))</f>
        <v>176.5488001783016</v>
      </c>
      <c r="I35" s="21">
        <f>H35*6.89476</f>
        <v>1217.2616055173467</v>
      </c>
      <c r="J35">
        <f>mdot*P35^0.5/A/G35/gc^0.5/144</f>
        <v>220.53623350410206</v>
      </c>
      <c r="K35" s="21">
        <f>J35*6.89476</f>
        <v>1520.5444013147426</v>
      </c>
      <c r="L35">
        <f>P35/(1+(Gam-1)/2*F35^2)</f>
        <v>619.04525078041149</v>
      </c>
      <c r="M35">
        <f>L35/1.8</f>
        <v>343.91402821133971</v>
      </c>
      <c r="N35">
        <f>L35-'Example 7.1 - Pipe P1'!$C$8</f>
        <v>159.37525078041148</v>
      </c>
      <c r="O35">
        <f>M35-'Example 7.1 - Pipe P1'!$C$9</f>
        <v>70.764028211339735</v>
      </c>
      <c r="P35">
        <f>P34</f>
        <v>659.67000000000007</v>
      </c>
      <c r="Q35">
        <f>Q34</f>
        <v>366.48333333333335</v>
      </c>
      <c r="R35">
        <f>P35-'Example 7.1 - Pipe P1'!$C$8</f>
        <v>200.00000000000006</v>
      </c>
      <c r="S35">
        <f>Q35-'Example 7.1 - Pipe P1'!$C$9</f>
        <v>93.333333333333371</v>
      </c>
      <c r="T35">
        <f>H35/L35/Rg/Z*144</f>
        <v>0.76974348527054304</v>
      </c>
      <c r="U35">
        <f>T35*16.01846</f>
        <v>12.330105229066783</v>
      </c>
      <c r="V35">
        <f>(Gam*H35/T35*gc*144)^0.5</f>
        <v>1219.7116357102925</v>
      </c>
      <c r="W35">
        <f>V35/3.28</f>
        <v>371.86330357021114</v>
      </c>
      <c r="X35">
        <f>F35*V35</f>
        <v>698.67679204321212</v>
      </c>
      <c r="Y35">
        <f>X35/3.28</f>
        <v>213.01121708634517</v>
      </c>
      <c r="AA35">
        <f>D35/$D$131</f>
        <v>0.72820378497296157</v>
      </c>
      <c r="AB35">
        <f>F35</f>
        <v>0.57282128954713252</v>
      </c>
      <c r="AC35">
        <f>H35/$H$5</f>
        <v>0.46479947720725473</v>
      </c>
      <c r="AD35">
        <f>J35/$J$5</f>
        <v>0.55134058376025519</v>
      </c>
      <c r="AE35">
        <f>L35/$L$5</f>
        <v>0.95238610010041358</v>
      </c>
      <c r="AF35">
        <f>T35/$T$5</f>
        <v>0.48803681317718645</v>
      </c>
      <c r="AG35">
        <f>X35/$X$5</f>
        <v>2.0490257558438332</v>
      </c>
    </row>
    <row r="36" spans="3:33" x14ac:dyDescent="0.25">
      <c r="C36">
        <f>D/f</f>
        <v>14.705882352941176</v>
      </c>
      <c r="D36">
        <f>(1/Gam*(1/M_1^2-1/F36^2)+(Gam+1)/2/Gam*LN((M_1^2/F36^2)*(1+F36^2*(Gam-1)/2)/(1+M_1^2*(Gam-1)/2)))*D/f</f>
        <v>91.708268965986065</v>
      </c>
      <c r="E36">
        <f>D36/3.28</f>
        <v>27.959838099385998</v>
      </c>
      <c r="F36">
        <f>F35+0.01</f>
        <v>0.58282128954713253</v>
      </c>
      <c r="G36">
        <f>(Gam/Z/Rg)^0.5*F36*(1+F36^2*(Gam-1)/2)^(-(Gam+1)/2/(Gam-1))</f>
        <v>7.7514716463022257E-2</v>
      </c>
      <c r="H36">
        <f>J36/(1+(Gam-1)/2*F36^2)^(Gam/(Gam-1))</f>
        <v>173.33171836120849</v>
      </c>
      <c r="I36" s="21">
        <f>H36*6.89476</f>
        <v>1195.0805984881258</v>
      </c>
      <c r="J36">
        <f>mdot*P36^0.5/A/G36/gc^0.5/144</f>
        <v>218.16572560654524</v>
      </c>
      <c r="K36" s="21">
        <f>J36*6.89476</f>
        <v>1504.2003182829837</v>
      </c>
      <c r="L36">
        <f>P36/(1+(Gam-1)/2*F36^2)</f>
        <v>617.70547955374752</v>
      </c>
      <c r="M36">
        <f>L36/1.8</f>
        <v>343.16971086319307</v>
      </c>
      <c r="N36">
        <f>L36-'Example 7.1 - Pipe P1'!$C$8</f>
        <v>158.03547955374751</v>
      </c>
      <c r="O36">
        <f>M36-'Example 7.1 - Pipe P1'!$C$9</f>
        <v>70.019710863193097</v>
      </c>
      <c r="P36">
        <f>P35</f>
        <v>659.67000000000007</v>
      </c>
      <c r="Q36">
        <f>Q35</f>
        <v>366.48333333333335</v>
      </c>
      <c r="R36">
        <f>P36-'Example 7.1 - Pipe P1'!$C$8</f>
        <v>200.00000000000006</v>
      </c>
      <c r="S36">
        <f>Q36-'Example 7.1 - Pipe P1'!$C$9</f>
        <v>93.333333333333371</v>
      </c>
      <c r="T36">
        <f>H36/L36/Rg/Z*144</f>
        <v>0.75735628917218389</v>
      </c>
      <c r="U36">
        <f>T36*16.01846</f>
        <v>12.131681423853061</v>
      </c>
      <c r="V36">
        <f>(Gam*H36/T36*gc*144)^0.5</f>
        <v>1218.3910378372152</v>
      </c>
      <c r="W36">
        <f>V36/3.28</f>
        <v>371.4606822674437</v>
      </c>
      <c r="X36">
        <f>F36*V36</f>
        <v>710.10423584495493</v>
      </c>
      <c r="Y36">
        <f>X36/3.28</f>
        <v>216.49519385516919</v>
      </c>
      <c r="AA36">
        <f>D36/$D$131</f>
        <v>0.73364464969167154</v>
      </c>
      <c r="AB36">
        <f>F36</f>
        <v>0.58282128954713253</v>
      </c>
      <c r="AC36">
        <f>H36/$H$5</f>
        <v>0.45632987591170526</v>
      </c>
      <c r="AD36">
        <f>J36/$J$5</f>
        <v>0.54541431401636309</v>
      </c>
      <c r="AE36">
        <f>L36/$L$5</f>
        <v>0.95032489457144675</v>
      </c>
      <c r="AF36">
        <f>T36/$T$5</f>
        <v>0.48018301795354867</v>
      </c>
      <c r="AG36">
        <f>X36/$X$5</f>
        <v>2.0825392873363473</v>
      </c>
    </row>
    <row r="37" spans="3:33" x14ac:dyDescent="0.25">
      <c r="C37">
        <f>D/f</f>
        <v>14.705882352941176</v>
      </c>
      <c r="D37">
        <f>(1/Gam*(1/M_1^2-1/F37^2)+(Gam+1)/2/Gam*LN((M_1^2/F37^2)*(1+F37^2*(Gam-1)/2)/(1+M_1^2*(Gam-1)/2)))*D/f</f>
        <v>92.341582389338541</v>
      </c>
      <c r="E37">
        <f>D37/3.28</f>
        <v>28.15292146016419</v>
      </c>
      <c r="F37">
        <f>F36+0.01</f>
        <v>0.59282128954713253</v>
      </c>
      <c r="G37">
        <f>(Gam/Z/Rg)^0.5*F37*(1+F37^2*(Gam-1)/2)^(-(Gam+1)/2/(Gam-1))</f>
        <v>7.8326213016000346E-2</v>
      </c>
      <c r="H37">
        <f>J37/(1+(Gam-1)/2*F37^2)^(Gam/(Gam-1))</f>
        <v>170.22058888547539</v>
      </c>
      <c r="I37" s="21">
        <f>H37*6.89476</f>
        <v>1173.6301074240203</v>
      </c>
      <c r="J37">
        <f>mdot*P37^0.5/A/G37/gc^0.5/144</f>
        <v>215.90542567002834</v>
      </c>
      <c r="K37" s="21">
        <f>J37*6.89476</f>
        <v>1488.6160926926846</v>
      </c>
      <c r="L37">
        <f>P37/(1+(Gam-1)/2*F37^2)</f>
        <v>616.3484592766423</v>
      </c>
      <c r="M37">
        <f>L37/1.8</f>
        <v>342.4158107092457</v>
      </c>
      <c r="N37">
        <f>L37-'Example 7.1 - Pipe P1'!$C$8</f>
        <v>156.67845927664229</v>
      </c>
      <c r="O37">
        <f>M37-'Example 7.1 - Pipe P1'!$C$9</f>
        <v>69.265810709245727</v>
      </c>
      <c r="P37">
        <f>P36</f>
        <v>659.67000000000007</v>
      </c>
      <c r="Q37">
        <f>Q36</f>
        <v>366.48333333333335</v>
      </c>
      <c r="R37">
        <f>P37-'Example 7.1 - Pipe P1'!$C$8</f>
        <v>200.00000000000006</v>
      </c>
      <c r="S37">
        <f>Q37-'Example 7.1 - Pipe P1'!$C$9</f>
        <v>93.333333333333371</v>
      </c>
      <c r="T37">
        <f>H37/L37/Rg/Z*144</f>
        <v>0.74540005685640476</v>
      </c>
      <c r="U37">
        <f>T37*16.01846</f>
        <v>11.940160994752047</v>
      </c>
      <c r="V37">
        <f>(Gam*H37/T37*gc*144)^0.5</f>
        <v>1217.0519770190444</v>
      </c>
      <c r="W37">
        <f>V37/3.28</f>
        <v>371.05243201800135</v>
      </c>
      <c r="X37">
        <f>F37*V37</f>
        <v>721.49432246231709</v>
      </c>
      <c r="Y37">
        <f>X37/3.28</f>
        <v>219.96778123851132</v>
      </c>
      <c r="AA37">
        <f>D37/$D$131</f>
        <v>0.73871100859102867</v>
      </c>
      <c r="AB37">
        <f>F37</f>
        <v>0.59282128954713253</v>
      </c>
      <c r="AC37">
        <f>H37/$H$5</f>
        <v>0.44813921501576937</v>
      </c>
      <c r="AD37">
        <f>J37/$J$5</f>
        <v>0.53976356417507088</v>
      </c>
      <c r="AE37">
        <f>L37/$L$5</f>
        <v>0.9482371517968432</v>
      </c>
      <c r="AF37">
        <f>T37/$T$5</f>
        <v>0.47260246465409711</v>
      </c>
      <c r="AG37">
        <f>X37/$X$5</f>
        <v>2.1159432605412047</v>
      </c>
    </row>
    <row r="38" spans="3:33" x14ac:dyDescent="0.25">
      <c r="C38">
        <f>D/f</f>
        <v>14.705882352941176</v>
      </c>
      <c r="D38">
        <f>(1/Gam*(1/M_1^2-1/F38^2)+(Gam+1)/2/Gam*LN((M_1^2/F38^2)*(1+F38^2*(Gam-1)/2)/(1+M_1^2*(Gam-1)/2)))*D/f</f>
        <v>92.931426020244885</v>
      </c>
      <c r="E38">
        <f>D38/3.28</f>
        <v>28.332751835440515</v>
      </c>
      <c r="F38">
        <f>F37+0.01</f>
        <v>0.60282128954713254</v>
      </c>
      <c r="G38">
        <f>(Gam/Z/Rg)^0.5*F38*(1+F38^2*(Gam-1)/2)^(-(Gam+1)/2/(Gam-1))</f>
        <v>7.9115978641475487E-2</v>
      </c>
      <c r="H38">
        <f>J38/(1+(Gam-1)/2*F38^2)^(Gam/(Gam-1))</f>
        <v>167.21016659495982</v>
      </c>
      <c r="I38" s="21">
        <f>H38*6.89476</f>
        <v>1152.873968232265</v>
      </c>
      <c r="J38">
        <f>mdot*P38^0.5/A/G38/gc^0.5/144</f>
        <v>213.75017604187832</v>
      </c>
      <c r="K38" s="21">
        <f>J38*6.89476</f>
        <v>1473.756163766501</v>
      </c>
      <c r="L38">
        <f>P38/(1+(Gam-1)/2*F38^2)</f>
        <v>614.97445518671213</v>
      </c>
      <c r="M38">
        <f>L38/1.8</f>
        <v>341.65247510372893</v>
      </c>
      <c r="N38">
        <f>L38-'Example 7.1 - Pipe P1'!$C$8</f>
        <v>155.30445518671212</v>
      </c>
      <c r="O38">
        <f>M38-'Example 7.1 - Pipe P1'!$C$9</f>
        <v>68.502475103728955</v>
      </c>
      <c r="P38">
        <f>P37</f>
        <v>659.67000000000007</v>
      </c>
      <c r="Q38">
        <f>Q37</f>
        <v>366.48333333333335</v>
      </c>
      <c r="R38">
        <f>P38-'Example 7.1 - Pipe P1'!$C$8</f>
        <v>200.00000000000006</v>
      </c>
      <c r="S38">
        <f>Q38-'Example 7.1 - Pipe P1'!$C$9</f>
        <v>93.333333333333371</v>
      </c>
      <c r="T38">
        <f>H38/L38/Rg/Z*144</f>
        <v>0.73385329869290117</v>
      </c>
      <c r="U38">
        <f>T38*16.01846</f>
        <v>11.755199710980291</v>
      </c>
      <c r="V38">
        <f>(Gam*H38/T38*gc*144)^0.5</f>
        <v>1215.6946544099139</v>
      </c>
      <c r="W38">
        <f>V38/3.28</f>
        <v>370.638614149364</v>
      </c>
      <c r="X38">
        <f>F38*V38</f>
        <v>732.84661926693991</v>
      </c>
      <c r="Y38">
        <f>X38/3.28</f>
        <v>223.4288473374817</v>
      </c>
      <c r="AA38">
        <f>D38/$D$131</f>
        <v>0.74342961934279905</v>
      </c>
      <c r="AB38">
        <f>F38</f>
        <v>0.60282128954713254</v>
      </c>
      <c r="AC38">
        <f>H38/$H$5</f>
        <v>0.44021368561318164</v>
      </c>
      <c r="AD38">
        <f>J38/$J$5</f>
        <v>0.53437544010469584</v>
      </c>
      <c r="AE38">
        <f>L38/$L$5</f>
        <v>0.94612327983824096</v>
      </c>
      <c r="AF38">
        <f>T38/$T$5</f>
        <v>0.46528152831039643</v>
      </c>
      <c r="AG38">
        <f>X38/$X$5</f>
        <v>2.1492364066791079</v>
      </c>
    </row>
    <row r="39" spans="3:33" x14ac:dyDescent="0.25">
      <c r="C39">
        <f>D/f</f>
        <v>14.705882352941176</v>
      </c>
      <c r="D39">
        <f>(1/Gam*(1/M_1^2-1/F39^2)+(Gam+1)/2/Gam*LN((M_1^2/F39^2)*(1+F39^2*(Gam-1)/2)/(1+M_1^2*(Gam-1)/2)))*D/f</f>
        <v>93.480865914836443</v>
      </c>
      <c r="E39">
        <f>D39/3.28</f>
        <v>28.500263998425748</v>
      </c>
      <c r="F39">
        <f>F38+0.01</f>
        <v>0.61282128954713255</v>
      </c>
      <c r="G39">
        <f>(Gam/Z/Rg)^0.5*F39*(1+F39^2*(Gam-1)/2)^(-(Gam+1)/2/(Gam-1))</f>
        <v>7.9883990614793232E-2</v>
      </c>
      <c r="H39">
        <f>J39/(1+(Gam-1)/2*F39^2)^(Gam/(Gam-1))</f>
        <v>164.29554889843126</v>
      </c>
      <c r="I39" s="21">
        <f>H39*6.89476</f>
        <v>1132.778378722948</v>
      </c>
      <c r="J39">
        <f>mdot*P39^0.5/A/G39/gc^0.5/144</f>
        <v>211.69516234970379</v>
      </c>
      <c r="K39" s="21">
        <f>J39*6.89476</f>
        <v>1459.5873375622436</v>
      </c>
      <c r="L39">
        <f>P39/(1+(Gam-1)/2*F39^2)</f>
        <v>613.5837339728663</v>
      </c>
      <c r="M39">
        <f>L39/1.8</f>
        <v>340.87985220714796</v>
      </c>
      <c r="N39">
        <f>L39-'Example 7.1 - Pipe P1'!$C$8</f>
        <v>153.91373397286628</v>
      </c>
      <c r="O39">
        <f>M39-'Example 7.1 - Pipe P1'!$C$9</f>
        <v>67.729852207147985</v>
      </c>
      <c r="P39">
        <f>P38</f>
        <v>659.67000000000007</v>
      </c>
      <c r="Q39">
        <f>Q38</f>
        <v>366.48333333333335</v>
      </c>
      <c r="R39">
        <f>P39-'Example 7.1 - Pipe P1'!$C$8</f>
        <v>200.00000000000006</v>
      </c>
      <c r="S39">
        <f>Q39-'Example 7.1 - Pipe P1'!$C$9</f>
        <v>93.333333333333371</v>
      </c>
      <c r="T39">
        <f>H39/L39/Rg/Z*144</f>
        <v>0.72269592724600507</v>
      </c>
      <c r="U39">
        <f>T39*16.01846</f>
        <v>11.576475802753043</v>
      </c>
      <c r="V39">
        <f>(Gam*H39/T39*gc*144)^0.5</f>
        <v>1214.3192726694419</v>
      </c>
      <c r="W39">
        <f>V39/3.28</f>
        <v>370.21929044800061</v>
      </c>
      <c r="X39">
        <f>F39*V39</f>
        <v>744.16070259922344</v>
      </c>
      <c r="Y39">
        <f>X39/3.28</f>
        <v>226.87826298756815</v>
      </c>
      <c r="AA39">
        <f>D39/$D$131</f>
        <v>0.74782500967716192</v>
      </c>
      <c r="AB39">
        <f>F39</f>
        <v>0.61282128954713255</v>
      </c>
      <c r="AC39">
        <f>H39/$H$5</f>
        <v>0.43254038066725553</v>
      </c>
      <c r="AD39">
        <f>J39/$J$5</f>
        <v>0.52923790587425945</v>
      </c>
      <c r="AE39">
        <f>L39/$L$5</f>
        <v>0.94398368899005691</v>
      </c>
      <c r="AF39">
        <f>T39/$T$5</f>
        <v>0.45820747298082976</v>
      </c>
      <c r="AG39">
        <f>X39/$X$5</f>
        <v>2.1824174832736465</v>
      </c>
    </row>
    <row r="40" spans="3:33" x14ac:dyDescent="0.25">
      <c r="C40">
        <f>D/f</f>
        <v>14.705882352941176</v>
      </c>
      <c r="D40">
        <f>(1/Gam*(1/M_1^2-1/F40^2)+(Gam+1)/2/Gam*LN((M_1^2/F40^2)*(1+F40^2*(Gam-1)/2)/(1+M_1^2*(Gam-1)/2)))*D/f</f>
        <v>93.992716389973793</v>
      </c>
      <c r="E40">
        <f>D40/3.28</f>
        <v>28.656315972552989</v>
      </c>
      <c r="F40">
        <f>F39+0.01</f>
        <v>0.62282128954713256</v>
      </c>
      <c r="G40">
        <f>(Gam/Z/Rg)^0.5*F40*(1+F40^2*(Gam-1)/2)^(-(Gam+1)/2/(Gam-1))</f>
        <v>8.0630237794835261E-2</v>
      </c>
      <c r="H40">
        <f>J40/(1+(Gam-1)/2*F40^2)^(Gam/(Gam-1))</f>
        <v>161.4721482584925</v>
      </c>
      <c r="I40" s="21">
        <f>H40*6.89476</f>
        <v>1113.3117089267237</v>
      </c>
      <c r="J40">
        <f>mdot*P40^0.5/A/G40/gc^0.5/144</f>
        <v>209.73588600062519</v>
      </c>
      <c r="K40" s="21">
        <f>J40*6.89476</f>
        <v>1446.0785973616705</v>
      </c>
      <c r="L40">
        <f>P40/(1+(Gam-1)/2*F40^2)</f>
        <v>612.17656366020776</v>
      </c>
      <c r="M40">
        <f>L40/1.8</f>
        <v>340.09809092233763</v>
      </c>
      <c r="N40">
        <f>L40-'Example 7.1 - Pipe P1'!$C$8</f>
        <v>152.50656366020775</v>
      </c>
      <c r="O40">
        <f>M40-'Example 7.1 - Pipe P1'!$C$9</f>
        <v>66.948090922337656</v>
      </c>
      <c r="P40">
        <f>P39</f>
        <v>659.67000000000007</v>
      </c>
      <c r="Q40">
        <f>Q39</f>
        <v>366.48333333333335</v>
      </c>
      <c r="R40">
        <f>P40-'Example 7.1 - Pipe P1'!$C$8</f>
        <v>200.00000000000006</v>
      </c>
      <c r="S40">
        <f>Q40-'Example 7.1 - Pipe P1'!$C$9</f>
        <v>93.333333333333371</v>
      </c>
      <c r="T40">
        <f>H40/L40/Rg/Z*144</f>
        <v>0.71190914471649624</v>
      </c>
      <c r="U40">
        <f>T40*16.01846</f>
        <v>11.403688158275408</v>
      </c>
      <c r="V40">
        <f>(Gam*H40/T40*gc*144)^0.5</f>
        <v>1212.9260358874733</v>
      </c>
      <c r="W40">
        <f>V40/3.28</f>
        <v>369.7945231364248</v>
      </c>
      <c r="X40">
        <f>F40*V40</f>
        <v>755.43615779672768</v>
      </c>
      <c r="Y40">
        <f>X40/3.28</f>
        <v>230.31590176729503</v>
      </c>
      <c r="AA40">
        <f>D40/$D$131</f>
        <v>0.75191969346915388</v>
      </c>
      <c r="AB40">
        <f>F40</f>
        <v>0.62282128954713256</v>
      </c>
      <c r="AC40">
        <f>H40/$H$5</f>
        <v>0.42510722258255135</v>
      </c>
      <c r="AD40">
        <f>J40/$J$5</f>
        <v>0.52433971500156296</v>
      </c>
      <c r="AE40">
        <f>L40/$L$5</f>
        <v>0.94181879160240967</v>
      </c>
      <c r="AF40">
        <f>T40/$T$5</f>
        <v>0.45136838038586413</v>
      </c>
      <c r="AG40">
        <f>X40/$X$5</f>
        <v>2.2154852742345925</v>
      </c>
    </row>
    <row r="41" spans="3:33" x14ac:dyDescent="0.25">
      <c r="C41">
        <f>D/f</f>
        <v>14.705882352941176</v>
      </c>
      <c r="D41">
        <f>(1/Gam*(1/M_1^2-1/F41^2)+(Gam+1)/2/Gam*LN((M_1^2/F41^2)*(1+F41^2*(Gam-1)/2)/(1+M_1^2*(Gam-1)/2)))*D/f</f>
        <v>94.469564047094082</v>
      </c>
      <c r="E41">
        <f>D41/3.28</f>
        <v>28.801696355821367</v>
      </c>
      <c r="F41">
        <f>F40+0.01</f>
        <v>0.63282128954713257</v>
      </c>
      <c r="G41">
        <f>(Gam/Z/Rg)^0.5*F41*(1+F41^2*(Gam-1)/2)^(-(Gam+1)/2/(Gam-1))</f>
        <v>8.1354720450148937E-2</v>
      </c>
      <c r="H41">
        <f>J41/(1+(Gam-1)/2*F41^2)^(Gam/(Gam-1))</f>
        <v>158.73566728895651</v>
      </c>
      <c r="I41" s="21">
        <f>H41*6.89476</f>
        <v>1094.4443293972058</v>
      </c>
      <c r="J41">
        <f>mdot*P41^0.5/A/G41/gc^0.5/144</f>
        <v>207.8681392888974</v>
      </c>
      <c r="K41" s="21">
        <f>J41*6.89476</f>
        <v>1433.2009320435182</v>
      </c>
      <c r="L41">
        <f>P41/(1+(Gam-1)/2*F41^2)</f>
        <v>610.75321349573483</v>
      </c>
      <c r="M41">
        <f>L41/1.8</f>
        <v>339.30734083096377</v>
      </c>
      <c r="N41">
        <f>L41-'Example 7.1 - Pipe P1'!$C$8</f>
        <v>151.08321349573481</v>
      </c>
      <c r="O41">
        <f>M41-'Example 7.1 - Pipe P1'!$C$9</f>
        <v>66.15734083096379</v>
      </c>
      <c r="P41">
        <f>P40</f>
        <v>659.67000000000007</v>
      </c>
      <c r="Q41">
        <f>Q40</f>
        <v>366.48333333333335</v>
      </c>
      <c r="R41">
        <f>P41-'Example 7.1 - Pipe P1'!$C$8</f>
        <v>200.00000000000006</v>
      </c>
      <c r="S41">
        <f>Q41-'Example 7.1 - Pipe P1'!$C$9</f>
        <v>93.333333333333371</v>
      </c>
      <c r="T41">
        <f>H41/L41/Rg/Z*144</f>
        <v>0.70147534105547515</v>
      </c>
      <c r="U41">
        <f>T41*16.01846</f>
        <v>11.236554691683487</v>
      </c>
      <c r="V41">
        <f>(Gam*H41/T41*gc*144)^0.5</f>
        <v>1211.5151495090813</v>
      </c>
      <c r="W41">
        <f>V41/3.28</f>
        <v>369.36437485032968</v>
      </c>
      <c r="X41">
        <f>F41*V41</f>
        <v>766.67257921822397</v>
      </c>
      <c r="Y41">
        <f>X41/3.28</f>
        <v>233.74164000555609</v>
      </c>
      <c r="AA41">
        <f>D41/$D$131</f>
        <v>0.75573436292381402</v>
      </c>
      <c r="AB41">
        <f>F41</f>
        <v>0.63282128954713257</v>
      </c>
      <c r="AC41">
        <f>H41/$H$5</f>
        <v>0.41790289764381833</v>
      </c>
      <c r="AD41">
        <f>J41/$J$5</f>
        <v>0.51967034822224345</v>
      </c>
      <c r="AE41">
        <f>L41/$L$5</f>
        <v>0.9396290019052741</v>
      </c>
      <c r="AF41">
        <f>T41/$T$5</f>
        <v>0.444753085309672</v>
      </c>
      <c r="AG41">
        <f>X41/$X$5</f>
        <v>2.2484385899284351</v>
      </c>
    </row>
    <row r="42" spans="3:33" x14ac:dyDescent="0.25">
      <c r="C42">
        <f>D/f</f>
        <v>14.705882352941176</v>
      </c>
      <c r="D42">
        <f>(1/Gam*(1/M_1^2-1/F42^2)+(Gam+1)/2/Gam*LN((M_1^2/F42^2)*(1+F42^2*(Gam-1)/2)/(1+M_1^2*(Gam-1)/2)))*D/f</f>
        <v>94.913789179055186</v>
      </c>
      <c r="E42">
        <f>D42/3.28</f>
        <v>28.937130847272925</v>
      </c>
      <c r="F42">
        <f>F41+0.01</f>
        <v>0.64282128954713258</v>
      </c>
      <c r="G42">
        <f>(Gam/Z/Rg)^0.5*F42*(1+F42^2*(Gam-1)/2)^(-(Gam+1)/2/(Gam-1))</f>
        <v>8.2057450076863658E-2</v>
      </c>
      <c r="H42">
        <f>J42/(1+(Gam-1)/2*F42^2)^(Gam/(Gam-1))</f>
        <v>156.08207617663803</v>
      </c>
      <c r="I42" s="21">
        <f>H42*6.89476</f>
        <v>1076.1484555396369</v>
      </c>
      <c r="J42">
        <f>mdot*P42^0.5/A/G42/gc^0.5/144</f>
        <v>206.08798282788695</v>
      </c>
      <c r="K42" s="21">
        <f>J42*6.89476</f>
        <v>1420.9271804824018</v>
      </c>
      <c r="L42">
        <f>P42/(1+(Gam-1)/2*F42^2)</f>
        <v>609.3139538349177</v>
      </c>
      <c r="M42">
        <f>L42/1.8</f>
        <v>338.5077521305098</v>
      </c>
      <c r="N42">
        <f>L42-'Example 7.1 - Pipe P1'!$C$8</f>
        <v>149.64395383491768</v>
      </c>
      <c r="O42">
        <f>M42-'Example 7.1 - Pipe P1'!$C$9</f>
        <v>65.357752130509823</v>
      </c>
      <c r="P42">
        <f>P41</f>
        <v>659.67000000000007</v>
      </c>
      <c r="Q42">
        <f>Q41</f>
        <v>366.48333333333335</v>
      </c>
      <c r="R42">
        <f>P42-'Example 7.1 - Pipe P1'!$C$8</f>
        <v>200.00000000000006</v>
      </c>
      <c r="S42">
        <f>Q42-'Example 7.1 - Pipe P1'!$C$9</f>
        <v>93.333333333333371</v>
      </c>
      <c r="T42">
        <f>H42/L42/Rg/Z*144</f>
        <v>0.6913780015881632</v>
      </c>
      <c r="U42">
        <f>T42*16.01846</f>
        <v>11.074810863319929</v>
      </c>
      <c r="V42">
        <f>(Gam*H42/T42*gc*144)^0.5</f>
        <v>1210.0868202598806</v>
      </c>
      <c r="W42">
        <f>V42/3.28</f>
        <v>368.92890861581725</v>
      </c>
      <c r="X42">
        <f>F42*V42</f>
        <v>777.86957026344567</v>
      </c>
      <c r="Y42">
        <f>X42/3.28</f>
        <v>237.1553567876359</v>
      </c>
      <c r="AA42">
        <f>D42/$D$131</f>
        <v>0.75928805982591907</v>
      </c>
      <c r="AB42">
        <f>F42</f>
        <v>0.64282128954713258</v>
      </c>
      <c r="AC42">
        <f>H42/$H$5</f>
        <v>0.41091679657441532</v>
      </c>
      <c r="AD42">
        <f>J42/$J$5</f>
        <v>0.51521995706971735</v>
      </c>
      <c r="AE42">
        <f>L42/$L$5</f>
        <v>0.93741473583398216</v>
      </c>
      <c r="AF42">
        <f>T42/$T$5</f>
        <v>0.43835111703128748</v>
      </c>
      <c r="AG42">
        <f>X42/$X$5</f>
        <v>2.2812762672363043</v>
      </c>
    </row>
    <row r="43" spans="3:33" x14ac:dyDescent="0.25">
      <c r="C43">
        <f>D/f</f>
        <v>14.705882352941176</v>
      </c>
      <c r="D43">
        <f>(1/Gam*(1/M_1^2-1/F43^2)+(Gam+1)/2/Gam*LN((M_1^2/F43^2)*(1+F43^2*(Gam-1)/2)/(1+M_1^2*(Gam-1)/2)))*D/f</f>
        <v>95.327584879839179</v>
      </c>
      <c r="E43">
        <f>D43/3.28</f>
        <v>29.063288073121704</v>
      </c>
      <c r="F43">
        <f>F42+0.01</f>
        <v>0.65282128954713259</v>
      </c>
      <c r="G43">
        <f>(Gam/Z/Rg)^0.5*F43*(1+F43^2*(Gam-1)/2)^(-(Gam+1)/2/(Gam-1))</f>
        <v>8.2738449208796305E-2</v>
      </c>
      <c r="H43">
        <f>J43/(1+(Gam-1)/2*F43^2)^(Gam/(Gam-1))</f>
        <v>153.50759217832487</v>
      </c>
      <c r="I43" s="21">
        <f>H43*6.89476</f>
        <v>1058.3980062474272</v>
      </c>
      <c r="J43">
        <f>mdot*P43^0.5/A/G43/gc^0.5/144</f>
        <v>204.39172505716937</v>
      </c>
      <c r="K43" s="21">
        <f>J43*6.89476</f>
        <v>1409.231890255169</v>
      </c>
      <c r="L43">
        <f>P43/(1+(Gam-1)/2*F43^2)</f>
        <v>607.85905602922435</v>
      </c>
      <c r="M43">
        <f>L43/1.8</f>
        <v>337.69947557179131</v>
      </c>
      <c r="N43">
        <f>L43-'Example 7.1 - Pipe P1'!$C$8</f>
        <v>148.18905602922433</v>
      </c>
      <c r="O43">
        <f>M43-'Example 7.1 - Pipe P1'!$C$9</f>
        <v>64.549475571791334</v>
      </c>
      <c r="P43">
        <f>P42</f>
        <v>659.67000000000007</v>
      </c>
      <c r="Q43">
        <f>Q42</f>
        <v>366.48333333333335</v>
      </c>
      <c r="R43">
        <f>P43-'Example 7.1 - Pipe P1'!$C$8</f>
        <v>200.00000000000006</v>
      </c>
      <c r="S43">
        <f>Q43-'Example 7.1 - Pipe P1'!$C$9</f>
        <v>93.333333333333371</v>
      </c>
      <c r="T43">
        <f>H43/L43/Rg/Z*144</f>
        <v>0.68160162312790218</v>
      </c>
      <c r="U43">
        <f>T43*16.01846</f>
        <v>10.918208336009377</v>
      </c>
      <c r="V43">
        <f>(Gam*H43/T43*gc*144)^0.5</f>
        <v>1208.6412560716917</v>
      </c>
      <c r="W43">
        <f>V43/3.28</f>
        <v>368.48818782673533</v>
      </c>
      <c r="X43">
        <f>F43*V43</f>
        <v>789.02674338858787</v>
      </c>
      <c r="Y43">
        <f>X43/3.28</f>
        <v>240.55693395993535</v>
      </c>
      <c r="AA43">
        <f>D43/$D$131</f>
        <v>0.76259832841313002</v>
      </c>
      <c r="AB43">
        <f>F43</f>
        <v>0.65282128954713259</v>
      </c>
      <c r="AC43">
        <f>H43/$H$5</f>
        <v>0.40413896055805104</v>
      </c>
      <c r="AD43">
        <f>J43/$J$5</f>
        <v>0.5109793126429234</v>
      </c>
      <c r="AE43">
        <f>L43/$L$5</f>
        <v>0.9351764108561843</v>
      </c>
      <c r="AF43">
        <f>T43/$T$5</f>
        <v>0.43215264613876292</v>
      </c>
      <c r="AG43">
        <f>X43/$X$5</f>
        <v>2.3139971695994257</v>
      </c>
    </row>
    <row r="44" spans="3:33" x14ac:dyDescent="0.25">
      <c r="C44">
        <f>D/f</f>
        <v>14.705882352941176</v>
      </c>
      <c r="D44">
        <f>(1/Gam*(1/M_1^2-1/F44^2)+(Gam+1)/2/Gam*LN((M_1^2/F44^2)*(1+F44^2*(Gam-1)/2)/(1+M_1^2*(Gam-1)/2)))*D/f</f>
        <v>95.712974133729276</v>
      </c>
      <c r="E44">
        <f>D44/3.28</f>
        <v>29.180784796868682</v>
      </c>
      <c r="F44">
        <f>F43+0.01</f>
        <v>0.6628212895471326</v>
      </c>
      <c r="G44">
        <f>(Gam/Z/Rg)^0.5*F44*(1+F44^2*(Gam-1)/2)^(-(Gam+1)/2/(Gam-1))</f>
        <v>8.3397751220151667E-2</v>
      </c>
      <c r="H44">
        <f>J44/(1+(Gam-1)/2*F44^2)^(Gam/(Gam-1))</f>
        <v>151.00866097377738</v>
      </c>
      <c r="I44" s="21">
        <f>H44*6.89476</f>
        <v>1041.1684753355612</v>
      </c>
      <c r="J44">
        <f>mdot*P44^0.5/A/G44/gc^0.5/144</f>
        <v>202.775903605595</v>
      </c>
      <c r="K44" s="21">
        <f>J44*6.89476</f>
        <v>1398.0911891437122</v>
      </c>
      <c r="L44">
        <f>P44/(1+(Gam-1)/2*F44^2)</f>
        <v>606.38879231466797</v>
      </c>
      <c r="M44">
        <f>L44/1.8</f>
        <v>336.88266239703773</v>
      </c>
      <c r="N44">
        <f>L44-'Example 7.1 - Pipe P1'!$C$8</f>
        <v>146.71879231466795</v>
      </c>
      <c r="O44">
        <f>M44-'Example 7.1 - Pipe P1'!$C$9</f>
        <v>63.732662397037757</v>
      </c>
      <c r="P44">
        <f>P43</f>
        <v>659.67000000000007</v>
      </c>
      <c r="Q44">
        <f>Q43</f>
        <v>366.48333333333335</v>
      </c>
      <c r="R44">
        <f>P44-'Example 7.1 - Pipe P1'!$C$8</f>
        <v>200.00000000000006</v>
      </c>
      <c r="S44">
        <f>Q44-'Example 7.1 - Pipe P1'!$C$9</f>
        <v>93.333333333333371</v>
      </c>
      <c r="T44">
        <f>H44/L44/Rg/Z*144</f>
        <v>0.67213163768371009</v>
      </c>
      <c r="U44">
        <f>T44*16.01846</f>
        <v>10.766513752971003</v>
      </c>
      <c r="V44">
        <f>(Gam*H44/T44*gc*144)^0.5</f>
        <v>1207.1786660086016</v>
      </c>
      <c r="W44">
        <f>V44/3.28</f>
        <v>368.04227622213466</v>
      </c>
      <c r="X44">
        <f>F44*V44</f>
        <v>800.14372011760861</v>
      </c>
      <c r="Y44">
        <f>X44/3.28</f>
        <v>243.94625613341728</v>
      </c>
      <c r="AA44">
        <f>D44/$D$131</f>
        <v>0.76568135208540111</v>
      </c>
      <c r="AB44">
        <f>F44</f>
        <v>0.6628212895471326</v>
      </c>
      <c r="AC44">
        <f>H44/$H$5</f>
        <v>0.39756003214688351</v>
      </c>
      <c r="AD44">
        <f>J44/$J$5</f>
        <v>0.50693975901398747</v>
      </c>
      <c r="AE44">
        <f>L44/$L$5</f>
        <v>0.9329144458003823</v>
      </c>
      <c r="AF44">
        <f>T44/$T$5</f>
        <v>0.4261484361578321</v>
      </c>
      <c r="AG44">
        <f>X44/$X$5</f>
        <v>2.346600187052267</v>
      </c>
    </row>
    <row r="45" spans="3:33" x14ac:dyDescent="0.25">
      <c r="C45">
        <f>D/f</f>
        <v>14.705882352941176</v>
      </c>
      <c r="D45">
        <f>(1/Gam*(1/M_1^2-1/F45^2)+(Gam+1)/2/Gam*LN((M_1^2/F45^2)*(1+F45^2*(Gam-1)/2)/(1+M_1^2*(Gam-1)/2)))*D/f</f>
        <v>96.071825123720402</v>
      </c>
      <c r="E45">
        <f>D45/3.28</f>
        <v>29.290190586500124</v>
      </c>
      <c r="F45">
        <f>F44+0.01</f>
        <v>0.67282128954713261</v>
      </c>
      <c r="G45">
        <f>(Gam/Z/Rg)^0.5*F45*(1+F45^2*(Gam-1)/2)^(-(Gam+1)/2/(Gam-1))</f>
        <v>8.4035400121225873E-2</v>
      </c>
      <c r="H45">
        <f>J45/(1+(Gam-1)/2*F45^2)^(Gam/(Gam-1))</f>
        <v>148.5819396816598</v>
      </c>
      <c r="I45" s="21">
        <f>H45*6.89476</f>
        <v>1024.4368144395207</v>
      </c>
      <c r="J45">
        <f>mdot*P45^0.5/A/G45/gc^0.5/144</f>
        <v>201.23726831722945</v>
      </c>
      <c r="K45" s="21">
        <f>J45*6.89476</f>
        <v>1387.4826681029008</v>
      </c>
      <c r="L45">
        <f>P45/(1+(Gam-1)/2*F45^2)</f>
        <v>604.90343570144353</v>
      </c>
      <c r="M45">
        <f>L45/1.8</f>
        <v>336.05746427857974</v>
      </c>
      <c r="N45">
        <f>L45-'Example 7.1 - Pipe P1'!$C$8</f>
        <v>145.23343570144351</v>
      </c>
      <c r="O45">
        <f>M45-'Example 7.1 - Pipe P1'!$C$9</f>
        <v>62.907464278579766</v>
      </c>
      <c r="P45">
        <f>P44</f>
        <v>659.67000000000007</v>
      </c>
      <c r="Q45">
        <f>Q44</f>
        <v>366.48333333333335</v>
      </c>
      <c r="R45">
        <f>P45-'Example 7.1 - Pipe P1'!$C$8</f>
        <v>200.00000000000006</v>
      </c>
      <c r="S45">
        <f>Q45-'Example 7.1 - Pipe P1'!$C$9</f>
        <v>93.333333333333371</v>
      </c>
      <c r="T45">
        <f>H45/L45/Rg/Z*144</f>
        <v>0.66295434297135181</v>
      </c>
      <c r="U45">
        <f>T45*16.01846</f>
        <v>10.619507624712881</v>
      </c>
      <c r="V45">
        <f>(Gam*H45/T45*gc*144)^0.5</f>
        <v>1205.6992601934685</v>
      </c>
      <c r="W45">
        <f>V45/3.28</f>
        <v>367.59123786386237</v>
      </c>
      <c r="X45">
        <f>F45*V45</f>
        <v>811.22013104939322</v>
      </c>
      <c r="Y45">
        <f>X45/3.28</f>
        <v>247.32321068579063</v>
      </c>
      <c r="AA45">
        <f>D45/$D$131</f>
        <v>0.76855207586867513</v>
      </c>
      <c r="AB45">
        <f>F45</f>
        <v>0.67282128954713261</v>
      </c>
      <c r="AC45">
        <f>H45/$H$5</f>
        <v>0.39117121054761561</v>
      </c>
      <c r="AD45">
        <f>J45/$J$5</f>
        <v>0.50309317079307359</v>
      </c>
      <c r="AE45">
        <f>L45/$L$5</f>
        <v>0.93062926068613772</v>
      </c>
      <c r="AF45">
        <f>T45/$T$5</f>
        <v>0.42032979949417398</v>
      </c>
      <c r="AG45">
        <f>X45/$X$5</f>
        <v>2.3790842362435463</v>
      </c>
    </row>
    <row r="46" spans="3:33" x14ac:dyDescent="0.25">
      <c r="C46">
        <f>D/f</f>
        <v>14.705882352941176</v>
      </c>
      <c r="D46">
        <f>(1/Gam*(1/M_1^2-1/F46^2)+(Gam+1)/2/Gam*LN((M_1^2/F46^2)*(1+F46^2*(Gam-1)/2)/(1+M_1^2*(Gam-1)/2)))*D/f</f>
        <v>96.405864967440948</v>
      </c>
      <c r="E46">
        <f>D46/3.28</f>
        <v>29.392032002268582</v>
      </c>
      <c r="F46">
        <f>F45+0.01</f>
        <v>0.68282128954713261</v>
      </c>
      <c r="G46">
        <f>(Gam/Z/Rg)^0.5*F46*(1+F46^2*(Gam-1)/2)^(-(Gam+1)/2/(Gam-1))</f>
        <v>8.4651450347522916E-2</v>
      </c>
      <c r="H46">
        <f>J46/(1+(Gam-1)/2*F46^2)^(Gam/(Gam-1))</f>
        <v>146.22428136793351</v>
      </c>
      <c r="I46" s="21">
        <f>H46*6.89476</f>
        <v>1008.1813262043732</v>
      </c>
      <c r="J46">
        <f>mdot*P46^0.5/A/G46/gc^0.5/144</f>
        <v>199.77276576969743</v>
      </c>
      <c r="K46" s="21">
        <f>J46*6.89476</f>
        <v>1377.3852745182789</v>
      </c>
      <c r="L46">
        <f>P46/(1+(Gam-1)/2*F46^2)</f>
        <v>603.40325986472203</v>
      </c>
      <c r="M46">
        <f>L46/1.8</f>
        <v>335.22403325817891</v>
      </c>
      <c r="N46">
        <f>L46-'Example 7.1 - Pipe P1'!$C$8</f>
        <v>143.73325986472202</v>
      </c>
      <c r="O46">
        <f>M46-'Example 7.1 - Pipe P1'!$C$9</f>
        <v>62.074033258178929</v>
      </c>
      <c r="P46">
        <f>P45</f>
        <v>659.67000000000007</v>
      </c>
      <c r="Q46">
        <f>Q45</f>
        <v>366.48333333333335</v>
      </c>
      <c r="R46">
        <f>P46-'Example 7.1 - Pipe P1'!$C$8</f>
        <v>200.00000000000006</v>
      </c>
      <c r="S46">
        <f>Q46-'Example 7.1 - Pipe P1'!$C$9</f>
        <v>93.333333333333371</v>
      </c>
      <c r="T46">
        <f>H46/L46/Rg/Z*144</f>
        <v>0.65405683903046385</v>
      </c>
      <c r="U46">
        <f>T46*16.01846</f>
        <v>10.476983313735925</v>
      </c>
      <c r="V46">
        <f>(Gam*H46/T46*gc*144)^0.5</f>
        <v>1204.2032497349026</v>
      </c>
      <c r="W46">
        <f>V46/3.28</f>
        <v>367.1351371142996</v>
      </c>
      <c r="X46">
        <f>F46*V46</f>
        <v>822.25561586083393</v>
      </c>
      <c r="Y46">
        <f>X46/3.28</f>
        <v>250.68768776244937</v>
      </c>
      <c r="AA46">
        <f>D46/$D$131</f>
        <v>0.77122431629903709</v>
      </c>
      <c r="AB46">
        <f>F46</f>
        <v>0.68282128954713261</v>
      </c>
      <c r="AC46">
        <f>H46/$H$5</f>
        <v>0.38496421083679006</v>
      </c>
      <c r="AD46">
        <f>J46/$J$5</f>
        <v>0.49943191442424356</v>
      </c>
      <c r="AE46">
        <f>L46/$L$5</f>
        <v>0.92832127655606178</v>
      </c>
      <c r="AF46">
        <f>T46/$T$5</f>
        <v>0.41468855724706849</v>
      </c>
      <c r="AG46">
        <f>X46/$X$5</f>
        <v>2.4114482604452645</v>
      </c>
    </row>
    <row r="47" spans="3:33" x14ac:dyDescent="0.25">
      <c r="C47">
        <f>D/f</f>
        <v>14.705882352941176</v>
      </c>
      <c r="D47">
        <f>(1/Gam*(1/M_1^2-1/F47^2)+(Gam+1)/2/Gam*LN((M_1^2/F47^2)*(1+F47^2*(Gam-1)/2)/(1+M_1^2*(Gam-1)/2)))*D/f</f>
        <v>96.716692061902222</v>
      </c>
      <c r="E47">
        <f>D47/3.28</f>
        <v>29.486796360336044</v>
      </c>
      <c r="F47">
        <f>F46+0.01</f>
        <v>0.69282128954713262</v>
      </c>
      <c r="G47">
        <f>(Gam/Z/Rg)^0.5*F47*(1+F47^2*(Gam-1)/2)^(-(Gam+1)/2/(Gam-1))</f>
        <v>8.5245966542694798E-2</v>
      </c>
      <c r="H47">
        <f>J47/(1+(Gam-1)/2*F47^2)^(Gam/(Gam-1))</f>
        <v>143.93272089592259</v>
      </c>
      <c r="I47" s="21">
        <f>H47*6.89476</f>
        <v>992.38156672437117</v>
      </c>
      <c r="J47">
        <f>mdot*P47^0.5/A/G47/gc^0.5/144</f>
        <v>198.37952513414339</v>
      </c>
      <c r="K47" s="21">
        <f>J47*6.89476</f>
        <v>1367.7792147138864</v>
      </c>
      <c r="L47">
        <f>P47/(1+(Gam-1)/2*F47^2)</f>
        <v>601.88853903666495</v>
      </c>
      <c r="M47">
        <f>L47/1.8</f>
        <v>334.3825216870361</v>
      </c>
      <c r="N47">
        <f>L47-'Example 7.1 - Pipe P1'!$C$8</f>
        <v>142.21853903666494</v>
      </c>
      <c r="O47">
        <f>M47-'Example 7.1 - Pipe P1'!$C$9</f>
        <v>61.232521687036126</v>
      </c>
      <c r="P47">
        <f>P46</f>
        <v>659.67000000000007</v>
      </c>
      <c r="Q47">
        <f>Q46</f>
        <v>366.48333333333335</v>
      </c>
      <c r="R47">
        <f>P47-'Example 7.1 - Pipe P1'!$C$8</f>
        <v>200.00000000000006</v>
      </c>
      <c r="S47">
        <f>Q47-'Example 7.1 - Pipe P1'!$C$9</f>
        <v>93.333333333333371</v>
      </c>
      <c r="T47">
        <f>H47/L47/Rg/Z*144</f>
        <v>0.64542697033078522</v>
      </c>
      <c r="U47">
        <f>T47*16.01846</f>
        <v>10.338746107164871</v>
      </c>
      <c r="V47">
        <f>(Gam*H47/T47*gc*144)^0.5</f>
        <v>1202.6908466547734</v>
      </c>
      <c r="W47">
        <f>V47/3.28</f>
        <v>366.67403861426021</v>
      </c>
      <c r="X47">
        <f>F47*V47</f>
        <v>833.24982330589285</v>
      </c>
      <c r="Y47">
        <f>X47/3.28</f>
        <v>254.03958027618685</v>
      </c>
      <c r="AA47">
        <f>D47/$D$131</f>
        <v>0.77371086017781532</v>
      </c>
      <c r="AB47">
        <f>F47</f>
        <v>0.69282128954713262</v>
      </c>
      <c r="AC47">
        <f>H47/$H$5</f>
        <v>0.37893122670830093</v>
      </c>
      <c r="AD47">
        <f>J47/$J$5</f>
        <v>0.49594881283535847</v>
      </c>
      <c r="AE47">
        <f>L47/$L$5</f>
        <v>0.92599091530968192</v>
      </c>
      <c r="AF47">
        <f>T47/$T$5</f>
        <v>0.40921700250328469</v>
      </c>
      <c r="AG47">
        <f>X47/$X$5</f>
        <v>2.4436912295499584</v>
      </c>
    </row>
    <row r="48" spans="3:33" x14ac:dyDescent="0.25">
      <c r="C48">
        <f>D/f</f>
        <v>14.705882352941176</v>
      </c>
      <c r="D48">
        <f>(1/Gam*(1/M_1^2-1/F48^2)+(Gam+1)/2/Gam*LN((M_1^2/F48^2)*(1+F48^2*(Gam-1)/2)/(1+M_1^2*(Gam-1)/2)))*D/f</f>
        <v>97.005787195250164</v>
      </c>
      <c r="E48">
        <f>D48/3.28</f>
        <v>29.574935120503099</v>
      </c>
      <c r="F48">
        <f>F47+0.01</f>
        <v>0.70282128954713263</v>
      </c>
      <c r="G48">
        <f>(Gam/Z/Rg)^0.5*F48*(1+F48^2*(Gam-1)/2)^(-(Gam+1)/2/(Gam-1))</f>
        <v>8.5819023335715935E-2</v>
      </c>
      <c r="H48">
        <f>J48/(1+(Gam-1)/2*F48^2)^(Gam/(Gam-1))</f>
        <v>141.70446198442863</v>
      </c>
      <c r="I48" s="21">
        <f>H48*6.89476</f>
        <v>977.01825631175916</v>
      </c>
      <c r="J48">
        <f>mdot*P48^0.5/A/G48/gc^0.5/144</f>
        <v>197.05484524318595</v>
      </c>
      <c r="K48" s="21">
        <f>J48*6.89476</f>
        <v>1358.6458647889087</v>
      </c>
      <c r="L48">
        <f>P48/(1+(Gam-1)/2*F48^2)</f>
        <v>600.35954789972232</v>
      </c>
      <c r="M48">
        <f>L48/1.8</f>
        <v>333.53308216651237</v>
      </c>
      <c r="N48">
        <f>L48-'Example 7.1 - Pipe P1'!$C$8</f>
        <v>140.6895478997223</v>
      </c>
      <c r="O48">
        <f>M48-'Example 7.1 - Pipe P1'!$C$9</f>
        <v>60.383082166512395</v>
      </c>
      <c r="P48">
        <f>P47</f>
        <v>659.67000000000007</v>
      </c>
      <c r="Q48">
        <f>Q47</f>
        <v>366.48333333333335</v>
      </c>
      <c r="R48">
        <f>P48-'Example 7.1 - Pipe P1'!$C$8</f>
        <v>200.00000000000006</v>
      </c>
      <c r="S48">
        <f>Q48-'Example 7.1 - Pipe P1'!$C$9</f>
        <v>93.333333333333371</v>
      </c>
      <c r="T48">
        <f>H48/L48/Rg/Z*144</f>
        <v>0.63705327282079038</v>
      </c>
      <c r="U48">
        <f>T48*16.01846</f>
        <v>10.204612368548919</v>
      </c>
      <c r="V48">
        <f>(Gam*H48/T48*gc*144)^0.5</f>
        <v>1201.162263816276</v>
      </c>
      <c r="W48">
        <f>V48/3.28</f>
        <v>366.20800726105978</v>
      </c>
      <c r="X48">
        <f>F48*V48</f>
        <v>844.20241121070819</v>
      </c>
      <c r="Y48">
        <f>X48/3.28</f>
        <v>257.37878390570376</v>
      </c>
      <c r="AA48">
        <f>D48/$D$131</f>
        <v>0.7760235534629899</v>
      </c>
      <c r="AB48">
        <f>F48</f>
        <v>0.70282128954713263</v>
      </c>
      <c r="AC48">
        <f>H48/$H$5</f>
        <v>0.373064896401333</v>
      </c>
      <c r="AD48">
        <f>J48/$J$5</f>
        <v>0.49263711310796487</v>
      </c>
      <c r="AE48">
        <f>L48/$L$5</f>
        <v>0.92363859953928373</v>
      </c>
      <c r="AF48">
        <f>T48/$T$5</f>
        <v>0.40390786676457652</v>
      </c>
      <c r="AG48">
        <f>X48/$X$5</f>
        <v>2.4758121400563464</v>
      </c>
    </row>
    <row r="49" spans="3:33" x14ac:dyDescent="0.25">
      <c r="C49">
        <f>D/f</f>
        <v>14.705882352941176</v>
      </c>
      <c r="D49">
        <f>(1/Gam*(1/M_1^2-1/F49^2)+(Gam+1)/2/Gam*LN((M_1^2/F49^2)*(1+F49^2*(Gam-1)/2)/(1+M_1^2*(Gam-1)/2)))*D/f</f>
        <v>97.274523563784172</v>
      </c>
      <c r="E49">
        <f>D49/3.28</f>
        <v>29.656866940178102</v>
      </c>
      <c r="F49">
        <f>F48+0.01</f>
        <v>0.71282128954713264</v>
      </c>
      <c r="G49">
        <f>(Gam/Z/Rg)^0.5*F49*(1+F49^2*(Gam-1)/2)^(-(Gam+1)/2/(Gam-1))</f>
        <v>8.6370705112701826E-2</v>
      </c>
      <c r="H49">
        <f>J49/(1+(Gam-1)/2*F49^2)^(Gam/(Gam-1))</f>
        <v>139.53686535526745</v>
      </c>
      <c r="I49" s="21">
        <f>H49*6.89476</f>
        <v>962.07319777688383</v>
      </c>
      <c r="J49">
        <f>mdot*P49^0.5/A/G49/gc^0.5/144</f>
        <v>195.79618274823946</v>
      </c>
      <c r="K49" s="21">
        <f>J49*6.89476</f>
        <v>1349.9676889652515</v>
      </c>
      <c r="L49">
        <f>P49/(1+(Gam-1)/2*F49^2)</f>
        <v>598.81656148127217</v>
      </c>
      <c r="M49">
        <f>L49/1.8</f>
        <v>332.67586748959565</v>
      </c>
      <c r="N49">
        <f>L49-'Example 7.1 - Pipe P1'!$C$8</f>
        <v>139.14656148127216</v>
      </c>
      <c r="O49">
        <f>M49-'Example 7.1 - Pipe P1'!$C$9</f>
        <v>59.525867489595669</v>
      </c>
      <c r="P49">
        <f>P48</f>
        <v>659.67000000000007</v>
      </c>
      <c r="Q49">
        <f>Q48</f>
        <v>366.48333333333335</v>
      </c>
      <c r="R49">
        <f>P49-'Example 7.1 - Pipe P1'!$C$8</f>
        <v>200.00000000000006</v>
      </c>
      <c r="S49">
        <f>Q49-'Example 7.1 - Pipe P1'!$C$9</f>
        <v>93.333333333333371</v>
      </c>
      <c r="T49">
        <f>H49/L49/Rg/Z*144</f>
        <v>0.62892492543336964</v>
      </c>
      <c r="U49">
        <f>T49*16.01846</f>
        <v>10.074408761057414</v>
      </c>
      <c r="V49">
        <f>(Gam*H49/T49*gc*144)^0.5</f>
        <v>1199.6177148525981</v>
      </c>
      <c r="W49">
        <f>V49/3.28</f>
        <v>365.73710818676773</v>
      </c>
      <c r="X49">
        <f>F49*V49</f>
        <v>855.11304646481335</v>
      </c>
      <c r="Y49">
        <f>X49/3.28</f>
        <v>260.70519709293092</v>
      </c>
      <c r="AA49">
        <f>D49/$D$131</f>
        <v>0.77817338140299464</v>
      </c>
      <c r="AB49">
        <f>F49</f>
        <v>0.71282128954713264</v>
      </c>
      <c r="AC49">
        <f>H49/$H$5</f>
        <v>0.3673582714964182</v>
      </c>
      <c r="AD49">
        <f>J49/$J$5</f>
        <v>0.48949045687059867</v>
      </c>
      <c r="AE49">
        <f>L49/$L$5</f>
        <v>0.92126475236781591</v>
      </c>
      <c r="AF49">
        <f>T49/$T$5</f>
        <v>0.39875428920105915</v>
      </c>
      <c r="AG49">
        <f>X49/$X$5</f>
        <v>2.5078100150435785</v>
      </c>
    </row>
    <row r="50" spans="3:33" x14ac:dyDescent="0.25">
      <c r="C50">
        <f>D/f</f>
        <v>14.705882352941176</v>
      </c>
      <c r="D50">
        <f>(1/Gam*(1/M_1^2-1/F50^2)+(Gam+1)/2/Gam*LN((M_1^2/F50^2)*(1+F50^2*(Gam-1)/2)/(1+M_1^2*(Gam-1)/2)))*D/f</f>
        <v>97.524175815340968</v>
      </c>
      <c r="E50">
        <f>D50/3.28</f>
        <v>29.732980431506395</v>
      </c>
      <c r="F50">
        <f>F49+0.01</f>
        <v>0.72282128954713265</v>
      </c>
      <c r="G50">
        <f>(Gam/Z/Rg)^0.5*F50*(1+F50^2*(Gam-1)/2)^(-(Gam+1)/2/(Gam-1))</f>
        <v>8.6901105783779922E-2</v>
      </c>
      <c r="H50">
        <f>J50/(1+(Gam-1)/2*F50^2)^(Gam/(Gam-1))</f>
        <v>137.42743786472818</v>
      </c>
      <c r="I50" s="21">
        <f>H50*6.89476</f>
        <v>947.52920149221325</v>
      </c>
      <c r="J50">
        <f>mdot*P50^0.5/A/G50/gc^0.5/144</f>
        <v>194.6011412607055</v>
      </c>
      <c r="K50" s="21">
        <f>J50*6.89476</f>
        <v>1341.7281647186619</v>
      </c>
      <c r="L50">
        <f>P50/(1+(Gam-1)/2*F50^2)</f>
        <v>597.25985504965854</v>
      </c>
      <c r="M50">
        <f>L50/1.8</f>
        <v>331.81103058314363</v>
      </c>
      <c r="N50">
        <f>L50-'Example 7.1 - Pipe P1'!$C$8</f>
        <v>137.58985504965852</v>
      </c>
      <c r="O50">
        <f>M50-'Example 7.1 - Pipe P1'!$C$9</f>
        <v>58.661030583143656</v>
      </c>
      <c r="P50">
        <f>P49</f>
        <v>659.67000000000007</v>
      </c>
      <c r="Q50">
        <f>Q49</f>
        <v>366.48333333333335</v>
      </c>
      <c r="R50">
        <f>P50-'Example 7.1 - Pipe P1'!$C$8</f>
        <v>200.00000000000006</v>
      </c>
      <c r="S50">
        <f>Q50-'Example 7.1 - Pipe P1'!$C$9</f>
        <v>93.333333333333371</v>
      </c>
      <c r="T50">
        <f>H50/L50/Rg/Z*144</f>
        <v>0.62103170561691745</v>
      </c>
      <c r="U50">
        <f>T50*16.01846</f>
        <v>9.947971535156368</v>
      </c>
      <c r="V50">
        <f>(Gam*H50/T50*gc*144)^0.5</f>
        <v>1198.0574140962215</v>
      </c>
      <c r="W50">
        <f>V50/3.28</f>
        <v>365.26140673665293</v>
      </c>
      <c r="X50">
        <f>F50*V50</f>
        <v>865.9814050085339</v>
      </c>
      <c r="Y50">
        <f>X50/3.28</f>
        <v>264.0187210391872</v>
      </c>
      <c r="AA50">
        <f>D50/$D$131</f>
        <v>0.78017054088166771</v>
      </c>
      <c r="AB50">
        <f>F50</f>
        <v>0.72282128954713265</v>
      </c>
      <c r="AC50">
        <f>H50/$H$5</f>
        <v>0.36180478830186197</v>
      </c>
      <c r="AD50">
        <f>J50/$J$5</f>
        <v>0.48650285315176378</v>
      </c>
      <c r="AE50">
        <f>L50/$L$5</f>
        <v>0.9188697972889478</v>
      </c>
      <c r="AF50">
        <f>T50/$T$5</f>
        <v>0.39374978845679576</v>
      </c>
      <c r="AG50">
        <f>X50/$X$5</f>
        <v>2.5396839041342747</v>
      </c>
    </row>
    <row r="51" spans="3:33" x14ac:dyDescent="0.25">
      <c r="C51">
        <f>D/f</f>
        <v>14.705882352941176</v>
      </c>
      <c r="D51">
        <f>(1/Gam*(1/M_1^2-1/F51^2)+(Gam+1)/2/Gam*LN((M_1^2/F51^2)*(1+F51^2*(Gam-1)/2)/(1+M_1^2*(Gam-1)/2)))*D/f</f>
        <v>97.755928225307457</v>
      </c>
      <c r="E51">
        <f>D51/3.28</f>
        <v>29.803636654057154</v>
      </c>
      <c r="F51">
        <f>F50+0.01</f>
        <v>0.73282128954713266</v>
      </c>
      <c r="G51">
        <f>(Gam/Z/Rg)^0.5*F51*(1+F51^2*(Gam-1)/2)^(-(Gam+1)/2/(Gam-1))</f>
        <v>8.741032854541933E-2</v>
      </c>
      <c r="H51">
        <f>J51/(1+(Gam-1)/2*F51^2)^(Gam/(Gam-1))</f>
        <v>135.37382252497449</v>
      </c>
      <c r="I51" s="21">
        <f>H51*6.89476</f>
        <v>933.37001659229304</v>
      </c>
      <c r="J51">
        <f>mdot*P51^0.5/A/G51/gc^0.5/144</f>
        <v>193.46746138305275</v>
      </c>
      <c r="K51" s="21">
        <f>J51*6.89476</f>
        <v>1333.9117140454168</v>
      </c>
      <c r="L51">
        <f>P51/(1+(Gam-1)/2*F51^2)</f>
        <v>595.68970401168383</v>
      </c>
      <c r="M51">
        <f>L51/1.8</f>
        <v>330.93872445093547</v>
      </c>
      <c r="N51">
        <f>L51-'Example 7.1 - Pipe P1'!$C$8</f>
        <v>136.01970401168381</v>
      </c>
      <c r="O51">
        <f>M51-'Example 7.1 - Pipe P1'!$C$9</f>
        <v>57.78872445093549</v>
      </c>
      <c r="P51">
        <f>P50</f>
        <v>659.67000000000007</v>
      </c>
      <c r="Q51">
        <f>Q50</f>
        <v>366.48333333333335</v>
      </c>
      <c r="R51">
        <f>P51-'Example 7.1 - Pipe P1'!$C$8</f>
        <v>200.00000000000006</v>
      </c>
      <c r="S51">
        <f>Q51-'Example 7.1 - Pipe P1'!$C$9</f>
        <v>93.333333333333371</v>
      </c>
      <c r="T51">
        <f>H51/L51/Rg/Z*144</f>
        <v>0.61336394850731535</v>
      </c>
      <c r="U51">
        <f>T51*16.01846</f>
        <v>9.8251458746064912</v>
      </c>
      <c r="V51">
        <f>(Gam*H51/T51*gc*144)^0.5</f>
        <v>1196.4815765088979</v>
      </c>
      <c r="W51">
        <f>V51/3.28</f>
        <v>364.78096844783477</v>
      </c>
      <c r="X51">
        <f>F51*V51</f>
        <v>876.80717181663681</v>
      </c>
      <c r="Y51">
        <f>X51/3.28</f>
        <v>267.31925970019415</v>
      </c>
      <c r="AA51">
        <f>D51/$D$131</f>
        <v>0.78202450582443783</v>
      </c>
      <c r="AB51">
        <f>F51</f>
        <v>0.73282128954713266</v>
      </c>
      <c r="AC51">
        <f>H51/$H$5</f>
        <v>0.35639824158311723</v>
      </c>
      <c r="AD51">
        <f>J51/$J$5</f>
        <v>0.48366865345763188</v>
      </c>
      <c r="AE51">
        <f>L51/$L$5</f>
        <v>0.91645415800936336</v>
      </c>
      <c r="AF51">
        <f>T51/$T$5</f>
        <v>0.3888882367638033</v>
      </c>
      <c r="AG51">
        <f>X51/$X$5</f>
        <v>2.5714328834465721</v>
      </c>
    </row>
    <row r="52" spans="3:33" x14ac:dyDescent="0.25">
      <c r="C52">
        <f>D/f</f>
        <v>14.705882352941176</v>
      </c>
      <c r="D52">
        <f>(1/Gam*(1/M_1^2-1/F52^2)+(Gam+1)/2/Gam*LN((M_1^2/F52^2)*(1+F52^2*(Gam-1)/2)/(1+M_1^2*(Gam-1)/2)))*D/f</f>
        <v>97.970882098682765</v>
      </c>
      <c r="E52">
        <f>D52/3.28</f>
        <v>29.869171371549626</v>
      </c>
      <c r="F52">
        <f>F51+0.01</f>
        <v>0.74282128954713267</v>
      </c>
      <c r="G52">
        <f>(Gam/Z/Rg)^0.5*F52*(1+F52^2*(Gam-1)/2)^(-(Gam+1)/2/(Gam-1))</f>
        <v>8.7898485638620946E-2</v>
      </c>
      <c r="H52">
        <f>J52/(1+(Gam-1)/2*F52^2)^(Gam/(Gam-1))</f>
        <v>133.37378933152709</v>
      </c>
      <c r="I52" s="21">
        <f>H52*6.89476</f>
        <v>919.58026773143968</v>
      </c>
      <c r="J52">
        <f>mdot*P52^0.5/A/G52/gc^0.5/144</f>
        <v>192.39301154592897</v>
      </c>
      <c r="K52" s="21">
        <f>J52*6.89476</f>
        <v>1326.5036402864091</v>
      </c>
      <c r="L52">
        <f>P52/(1+(Gam-1)/2*F52^2)</f>
        <v>594.10638381160402</v>
      </c>
      <c r="M52">
        <f>L52/1.8</f>
        <v>330.05910211755776</v>
      </c>
      <c r="N52">
        <f>L52-'Example 7.1 - Pipe P1'!$C$8</f>
        <v>134.436383811604</v>
      </c>
      <c r="O52">
        <f>M52-'Example 7.1 - Pipe P1'!$C$9</f>
        <v>56.909102117557779</v>
      </c>
      <c r="P52">
        <f>P51</f>
        <v>659.67000000000007</v>
      </c>
      <c r="Q52">
        <f>Q51</f>
        <v>366.48333333333335</v>
      </c>
      <c r="R52">
        <f>P52-'Example 7.1 - Pipe P1'!$C$8</f>
        <v>200.00000000000006</v>
      </c>
      <c r="S52">
        <f>Q52-'Example 7.1 - Pipe P1'!$C$9</f>
        <v>93.333333333333371</v>
      </c>
      <c r="T52">
        <f>H52/L52/Rg/Z*144</f>
        <v>0.60591250939770591</v>
      </c>
      <c r="U52">
        <f>T52*16.01846</f>
        <v>9.7057852952867769</v>
      </c>
      <c r="V52">
        <f>(Gam*H52/T52*gc*144)^0.5</f>
        <v>1194.8904176123292</v>
      </c>
      <c r="W52">
        <f>V52/3.28</f>
        <v>364.29585902814915</v>
      </c>
      <c r="X52">
        <f>F52*V52</f>
        <v>887.59004087830226</v>
      </c>
      <c r="Y52">
        <f>X52/3.28</f>
        <v>270.60671977997021</v>
      </c>
      <c r="AA52">
        <f>D52/$D$131</f>
        <v>0.78374408641308446</v>
      </c>
      <c r="AB52">
        <f>F52</f>
        <v>0.74282128954713267</v>
      </c>
      <c r="AC52">
        <f>H52/$H$5</f>
        <v>0.35113276041432617</v>
      </c>
      <c r="AD52">
        <f>J52/$J$5</f>
        <v>0.4809825288648224</v>
      </c>
      <c r="AE52">
        <f>L52/$L$5</f>
        <v>0.91401825829336814</v>
      </c>
      <c r="AF52">
        <f>T52/$T$5</f>
        <v>0.38416383614694127</v>
      </c>
      <c r="AG52">
        <f>X52/$X$5</f>
        <v>2.6030560555353879</v>
      </c>
    </row>
    <row r="53" spans="3:33" x14ac:dyDescent="0.25">
      <c r="C53">
        <f>D/f</f>
        <v>14.705882352941176</v>
      </c>
      <c r="D53">
        <f>(1/Gam*(1/M_1^2-1/F53^2)+(Gam+1)/2/Gam*LN((M_1^2/F53^2)*(1+F53^2*(Gam-1)/2)/(1+M_1^2*(Gam-1)/2)))*D/f</f>
        <v>98.170062480464608</v>
      </c>
      <c r="E53">
        <f>D53/3.28</f>
        <v>29.929897097702625</v>
      </c>
      <c r="F53">
        <f>F52+0.01</f>
        <v>0.75282128954713268</v>
      </c>
      <c r="G53">
        <f>(Gam/Z/Rg)^0.5*F53*(1+F53^2*(Gam-1)/2)^(-(Gam+1)/2/(Gam-1))</f>
        <v>8.8365698103368501E-2</v>
      </c>
      <c r="H53">
        <f>J53/(1+(Gam-1)/2*F53^2)^(Gam/(Gam-1))</f>
        <v>131.42522682187897</v>
      </c>
      <c r="I53" s="21">
        <f>H53*6.89476</f>
        <v>906.14539688241814</v>
      </c>
      <c r="J53">
        <f>mdot*P53^0.5/A/G53/gc^0.5/144</f>
        <v>191.37577957635369</v>
      </c>
      <c r="K53" s="21">
        <f>J53*6.89476</f>
        <v>1319.4900699918603</v>
      </c>
      <c r="L53">
        <f>P53/(1+(Gam-1)/2*F53^2)</f>
        <v>592.51016983167881</v>
      </c>
      <c r="M53">
        <f>L53/1.8</f>
        <v>329.17231657315489</v>
      </c>
      <c r="N53">
        <f>L53-'Example 7.1 - Pipe P1'!$C$8</f>
        <v>132.84016983167879</v>
      </c>
      <c r="O53">
        <f>M53-'Example 7.1 - Pipe P1'!$C$9</f>
        <v>56.02231657315491</v>
      </c>
      <c r="P53">
        <f>P52</f>
        <v>659.67000000000007</v>
      </c>
      <c r="Q53">
        <f>Q52</f>
        <v>366.48333333333335</v>
      </c>
      <c r="R53">
        <f>P53-'Example 7.1 - Pipe P1'!$C$8</f>
        <v>200.00000000000006</v>
      </c>
      <c r="S53">
        <f>Q53-'Example 7.1 - Pipe P1'!$C$9</f>
        <v>93.333333333333371</v>
      </c>
      <c r="T53">
        <f>H53/L53/Rg/Z*144</f>
        <v>0.59866872919941239</v>
      </c>
      <c r="U53">
        <f>T53*16.01846</f>
        <v>9.5897510919316193</v>
      </c>
      <c r="V53">
        <f>(Gam*H53/T53*gc*144)^0.5</f>
        <v>1193.2841534195866</v>
      </c>
      <c r="W53">
        <f>V53/3.28</f>
        <v>363.80614433523982</v>
      </c>
      <c r="X53">
        <f>F53*V53</f>
        <v>898.32971517349165</v>
      </c>
      <c r="Y53">
        <f>X53/3.28</f>
        <v>273.88101072362554</v>
      </c>
      <c r="AA53">
        <f>D53/$D$131</f>
        <v>0.78533748276725612</v>
      </c>
      <c r="AB53">
        <f>F53</f>
        <v>0.75282128954713268</v>
      </c>
      <c r="AC53">
        <f>H53/$H$5</f>
        <v>0.34600278595471262</v>
      </c>
      <c r="AD53">
        <f>J53/$J$5</f>
        <v>0.47843944894088425</v>
      </c>
      <c r="AE53">
        <f>L53/$L$5</f>
        <v>0.91156252180988773</v>
      </c>
      <c r="AF53">
        <f>T53/$T$5</f>
        <v>0.37957109652526244</v>
      </c>
      <c r="AG53">
        <f>X53/$X$5</f>
        <v>2.634552549323113</v>
      </c>
    </row>
    <row r="54" spans="3:33" x14ac:dyDescent="0.25">
      <c r="C54">
        <f>D/f</f>
        <v>14.705882352941176</v>
      </c>
      <c r="D54">
        <f>(1/Gam*(1/M_1^2-1/F54^2)+(Gam+1)/2/Gam*LN((M_1^2/F54^2)*(1+F54^2*(Gam-1)/2)/(1+M_1^2*(Gam-1)/2)))*D/f</f>
        <v>98.354424246947076</v>
      </c>
      <c r="E54">
        <f>D54/3.28</f>
        <v>29.986104953337524</v>
      </c>
      <c r="F54">
        <f>F53+0.01</f>
        <v>0.76282128954713269</v>
      </c>
      <c r="G54">
        <f>(Gam/Z/Rg)^0.5*F54*(1+F54^2*(Gam-1)/2)^(-(Gam+1)/2/(Gam-1))</f>
        <v>8.8812095529733848E-2</v>
      </c>
      <c r="H54">
        <f>J54/(1+(Gam-1)/2*F54^2)^(Gam/(Gam-1))</f>
        <v>129.52613429815509</v>
      </c>
      <c r="I54" s="21">
        <f>H54*6.89476</f>
        <v>893.05160971354769</v>
      </c>
      <c r="J54">
        <f>mdot*P54^0.5/A/G54/gc^0.5/144</f>
        <v>190.4138649299085</v>
      </c>
      <c r="K54" s="21">
        <f>J54*6.89476</f>
        <v>1312.8578993641358</v>
      </c>
      <c r="L54">
        <f>P54/(1+(Gam-1)/2*F54^2)</f>
        <v>590.90133729432046</v>
      </c>
      <c r="M54">
        <f>L54/1.8</f>
        <v>328.27852071906693</v>
      </c>
      <c r="N54">
        <f>L54-'Example 7.1 - Pipe P1'!$C$8</f>
        <v>131.23133729432044</v>
      </c>
      <c r="O54">
        <f>M54-'Example 7.1 - Pipe P1'!$C$9</f>
        <v>55.128520719066955</v>
      </c>
      <c r="P54">
        <f>P53</f>
        <v>659.67000000000007</v>
      </c>
      <c r="Q54">
        <f>Q53</f>
        <v>366.48333333333335</v>
      </c>
      <c r="R54">
        <f>P54-'Example 7.1 - Pipe P1'!$C$8</f>
        <v>200.00000000000006</v>
      </c>
      <c r="S54">
        <f>Q54-'Example 7.1 - Pipe P1'!$C$9</f>
        <v>93.333333333333371</v>
      </c>
      <c r="T54">
        <f>H54/L54/Rg/Z*144</f>
        <v>0.59162440261952209</v>
      </c>
      <c r="U54">
        <f>T54*16.01846</f>
        <v>9.4769118283847114</v>
      </c>
      <c r="V54">
        <f>(Gam*H54/T54*gc*144)^0.5</f>
        <v>1191.6630003673001</v>
      </c>
      <c r="W54">
        <f>V54/3.28</f>
        <v>363.3118903558842</v>
      </c>
      <c r="X54">
        <f>F54*V54</f>
        <v>909.02590664578918</v>
      </c>
      <c r="Y54">
        <f>X54/3.28</f>
        <v>277.14204470908209</v>
      </c>
      <c r="AA54">
        <f>D54/$D$131</f>
        <v>0.78681233367342396</v>
      </c>
      <c r="AB54">
        <f>F54</f>
        <v>0.76282128954713269</v>
      </c>
      <c r="AC54">
        <f>H54/$H$5</f>
        <v>0.34100305097320266</v>
      </c>
      <c r="AD54">
        <f>J54/$J$5</f>
        <v>0.47603466232477126</v>
      </c>
      <c r="AE54">
        <f>L54/$L$5</f>
        <v>0.90908737198192646</v>
      </c>
      <c r="AF54">
        <f>T54/$T$5</f>
        <v>0.37510481553579661</v>
      </c>
      <c r="AG54">
        <f>X54/$X$5</f>
        <v>2.6659215200199662</v>
      </c>
    </row>
    <row r="55" spans="3:33" x14ac:dyDescent="0.25">
      <c r="C55">
        <f>D/f</f>
        <v>14.705882352941176</v>
      </c>
      <c r="D55">
        <f>(1/Gam*(1/M_1^2-1/F55^2)+(Gam+1)/2/Gam*LN((M_1^2/F55^2)*(1+F55^2*(Gam-1)/2)/(1+M_1^2*(Gam-1)/2)))*D/f</f>
        <v>98.524857642077663</v>
      </c>
      <c r="E55">
        <f>D55/3.28</f>
        <v>30.038066354291971</v>
      </c>
      <c r="F55">
        <f>F54+0.01</f>
        <v>0.77282128954713269</v>
      </c>
      <c r="G55">
        <f>(Gam/Z/Rg)^0.5*F55*(1+F55^2*(Gam-1)/2)^(-(Gam+1)/2/(Gam-1))</f>
        <v>8.9237815806027493E-2</v>
      </c>
      <c r="H55">
        <f>J55/(1+(Gam-1)/2*F55^2)^(Gam/(Gam-1))</f>
        <v>127.67461465367148</v>
      </c>
      <c r="I55" s="21">
        <f>H55*6.89476</f>
        <v>880.28582612954801</v>
      </c>
      <c r="J55">
        <f>mdot*P55^0.5/A/G55/gc^0.5/144</f>
        <v>189.50547152677649</v>
      </c>
      <c r="K55" s="21">
        <f>J55*6.89476</f>
        <v>1306.5947448639574</v>
      </c>
      <c r="L55">
        <f>P55/(1+(Gam-1)/2*F55^2)</f>
        <v>589.28016116588879</v>
      </c>
      <c r="M55">
        <f>L55/1.8</f>
        <v>327.37786731438263</v>
      </c>
      <c r="N55">
        <f>L55-'Example 7.1 - Pipe P1'!$C$8</f>
        <v>129.61016116588877</v>
      </c>
      <c r="O55">
        <f>M55-'Example 7.1 - Pipe P1'!$C$9</f>
        <v>54.22786731438265</v>
      </c>
      <c r="P55">
        <f>P54</f>
        <v>659.67000000000007</v>
      </c>
      <c r="Q55">
        <f>Q54</f>
        <v>366.48333333333335</v>
      </c>
      <c r="R55">
        <f>P55-'Example 7.1 - Pipe P1'!$C$8</f>
        <v>200.00000000000006</v>
      </c>
      <c r="S55">
        <f>Q55-'Example 7.1 - Pipe P1'!$C$9</f>
        <v>93.333333333333371</v>
      </c>
      <c r="T55">
        <f>H55/L55/Rg/Z*144</f>
        <v>0.58477174880905591</v>
      </c>
      <c r="U55">
        <f>T55*16.01846</f>
        <v>9.3671428674279102</v>
      </c>
      <c r="V55">
        <f>(Gam*H55/T55*gc*144)^0.5</f>
        <v>1190.0271752486544</v>
      </c>
      <c r="W55">
        <f>V55/3.28</f>
        <v>362.81316318556537</v>
      </c>
      <c r="X55">
        <f>F55*V55</f>
        <v>919.67833617179679</v>
      </c>
      <c r="Y55">
        <f>X55/3.28</f>
        <v>280.38973663774294</v>
      </c>
      <c r="AA55">
        <f>D55/$D$131</f>
        <v>0.78817576087444019</v>
      </c>
      <c r="AB55">
        <f>F55</f>
        <v>0.77282128954713269</v>
      </c>
      <c r="AC55">
        <f>H55/$H$5</f>
        <v>0.33612856096292892</v>
      </c>
      <c r="AD55">
        <f>J55/$J$5</f>
        <v>0.4737636788169412</v>
      </c>
      <c r="AE55">
        <f>L55/$L$5</f>
        <v>0.90659323183855822</v>
      </c>
      <c r="AF55">
        <f>T55/$T$5</f>
        <v>0.37076005992374883</v>
      </c>
      <c r="AG55">
        <f>X55/$X$5</f>
        <v>2.6971621490342343</v>
      </c>
    </row>
    <row r="56" spans="3:33" x14ac:dyDescent="0.25">
      <c r="C56">
        <f>D/f</f>
        <v>14.705882352941176</v>
      </c>
      <c r="D56">
        <f>(1/Gam*(1/M_1^2-1/F56^2)+(Gam+1)/2/Gam*LN((M_1^2/F56^2)*(1+F56^2*(Gam-1)/2)/(1+M_1^2*(Gam-1)/2)))*D/f</f>
        <v>98.682193315657571</v>
      </c>
      <c r="E56">
        <f>D56/3.28</f>
        <v>30.086034547456578</v>
      </c>
      <c r="F56">
        <f>F55+0.01</f>
        <v>0.7828212895471327</v>
      </c>
      <c r="G56">
        <f>(Gam/Z/Rg)^0.5*F56*(1+F56^2*(Gam-1)/2)^(-(Gam+1)/2/(Gam-1))</f>
        <v>8.9643004864376513E-2</v>
      </c>
      <c r="H56">
        <f>J56/(1+(Gam-1)/2*F56^2)^(Gam/(Gam-1))</f>
        <v>125.86886774939765</v>
      </c>
      <c r="I56" s="21">
        <f>H56*6.89476</f>
        <v>867.83563460383698</v>
      </c>
      <c r="J56">
        <f>mdot*P56^0.5/A/G56/gc^0.5/144</f>
        <v>188.64890113764139</v>
      </c>
      <c r="K56" s="21">
        <f>J56*6.89476</f>
        <v>1300.6888976077644</v>
      </c>
      <c r="L56">
        <f>P56/(1+(Gam-1)/2*F56^2)</f>
        <v>587.64691606216866</v>
      </c>
      <c r="M56">
        <f>L56/1.8</f>
        <v>326.47050892342702</v>
      </c>
      <c r="N56">
        <f>L56-'Example 7.1 - Pipe P1'!$C$8</f>
        <v>127.97691606216864</v>
      </c>
      <c r="O56">
        <f>M56-'Example 7.1 - Pipe P1'!$C$9</f>
        <v>53.320508923427042</v>
      </c>
      <c r="P56">
        <f>P55</f>
        <v>659.67000000000007</v>
      </c>
      <c r="Q56">
        <f>Q55</f>
        <v>366.48333333333335</v>
      </c>
      <c r="R56">
        <f>P56-'Example 7.1 - Pipe P1'!$C$8</f>
        <v>200.00000000000006</v>
      </c>
      <c r="S56">
        <f>Q56-'Example 7.1 - Pipe P1'!$C$9</f>
        <v>93.333333333333371</v>
      </c>
      <c r="T56">
        <f>H56/L56/Rg/Z*144</f>
        <v>0.5781033842608132</v>
      </c>
      <c r="U56">
        <f>T56*16.01846</f>
        <v>9.260325936646467</v>
      </c>
      <c r="V56">
        <f>(Gam*H56/T56*gc*144)^0.5</f>
        <v>1188.3768951472052</v>
      </c>
      <c r="W56">
        <f>V56/3.28</f>
        <v>362.31002900829429</v>
      </c>
      <c r="X56">
        <f>F56*V56</f>
        <v>930.28673352715293</v>
      </c>
      <c r="Y56">
        <f>X56/3.28</f>
        <v>283.624004124132</v>
      </c>
      <c r="AA56">
        <f>D56/$D$131</f>
        <v>0.78943440937395937</v>
      </c>
      <c r="AB56">
        <f>F56</f>
        <v>0.7828212895471327</v>
      </c>
      <c r="AC56">
        <f>H56/$H$5</f>
        <v>0.33137457670346382</v>
      </c>
      <c r="AD56">
        <f>J56/$J$5</f>
        <v>0.47162225284410347</v>
      </c>
      <c r="AE56">
        <f>L56/$L$5</f>
        <v>0.90408052386950555</v>
      </c>
      <c r="AF56">
        <f>T56/$T$5</f>
        <v>0.36653214835904846</v>
      </c>
      <c r="AG56">
        <f>X56/$X$5</f>
        <v>2.7282736438726172</v>
      </c>
    </row>
    <row r="57" spans="3:33" x14ac:dyDescent="0.25">
      <c r="C57">
        <f>D/f</f>
        <v>14.705882352941176</v>
      </c>
      <c r="D57">
        <f>(1/Gam*(1/M_1^2-1/F57^2)+(Gam+1)/2/Gam*LN((M_1^2/F57^2)*(1+F57^2*(Gam-1)/2)/(1+M_1^2*(Gam-1)/2)))*D/f</f>
        <v>98.827206913730777</v>
      </c>
      <c r="E57">
        <f>D57/3.28</f>
        <v>30.130246010283773</v>
      </c>
      <c r="F57">
        <f>F56+0.01</f>
        <v>0.79282128954713271</v>
      </c>
      <c r="G57">
        <f>(Gam/Z/Rg)^0.5*F57*(1+F57^2*(Gam-1)/2)^(-(Gam+1)/2/(Gam-1))</f>
        <v>9.0027816424109425E-2</v>
      </c>
      <c r="H57">
        <f>J57/(1+(Gam-1)/2*F57^2)^(Gam/(Gam-1))</f>
        <v>124.10718429177128</v>
      </c>
      <c r="I57" s="21">
        <f>H57*6.89476</f>
        <v>855.68924996753287</v>
      </c>
      <c r="J57">
        <f>mdot*P57^0.5/A/G57/gc^0.5/144</f>
        <v>187.84254727089095</v>
      </c>
      <c r="K57" s="21">
        <f>J57*6.89476</f>
        <v>1295.1292812214481</v>
      </c>
      <c r="L57">
        <f>P57/(1+(Gam-1)/2*F57^2)</f>
        <v>586.00187615557456</v>
      </c>
      <c r="M57">
        <f>L57/1.8</f>
        <v>325.55659786420807</v>
      </c>
      <c r="N57">
        <f>L57-'Example 7.1 - Pipe P1'!$C$8</f>
        <v>126.33187615557455</v>
      </c>
      <c r="O57">
        <f>M57-'Example 7.1 - Pipe P1'!$C$9</f>
        <v>52.406597864208095</v>
      </c>
      <c r="P57">
        <f>P56</f>
        <v>659.67000000000007</v>
      </c>
      <c r="Q57">
        <f>Q56</f>
        <v>366.48333333333335</v>
      </c>
      <c r="R57">
        <f>P57-'Example 7.1 - Pipe P1'!$C$8</f>
        <v>200.00000000000006</v>
      </c>
      <c r="S57">
        <f>Q57-'Example 7.1 - Pipe P1'!$C$9</f>
        <v>93.333333333333371</v>
      </c>
      <c r="T57">
        <f>H57/L57/Rg/Z*144</f>
        <v>0.5716122977582454</v>
      </c>
      <c r="U57">
        <f>T57*16.01846</f>
        <v>9.1563487271485435</v>
      </c>
      <c r="V57">
        <f>(Gam*H57/T57*gc*144)^0.5</f>
        <v>1186.7123773715653</v>
      </c>
      <c r="W57">
        <f>V57/3.28</f>
        <v>361.80255407669677</v>
      </c>
      <c r="X57">
        <f>F57*V57</f>
        <v>940.85083734926798</v>
      </c>
      <c r="Y57">
        <f>X57/3.28</f>
        <v>286.84476748453295</v>
      </c>
      <c r="AA57">
        <f>D57/$D$131</f>
        <v>0.79059448415847411</v>
      </c>
      <c r="AB57">
        <f>F57</f>
        <v>0.79282128954713271</v>
      </c>
      <c r="AC57">
        <f>H57/$H$5</f>
        <v>0.3267365981429613</v>
      </c>
      <c r="AD57">
        <f>J57/$J$5</f>
        <v>0.46960636817722734</v>
      </c>
      <c r="AE57">
        <f>L57/$L$5</f>
        <v>0.90154966988237684</v>
      </c>
      <c r="AF57">
        <f>T57/$T$5</f>
        <v>0.36241663555330222</v>
      </c>
      <c r="AG57">
        <f>X57/$X$5</f>
        <v>2.7592552380309403</v>
      </c>
    </row>
    <row r="58" spans="3:33" x14ac:dyDescent="0.25">
      <c r="C58">
        <f>D/f</f>
        <v>14.705882352941176</v>
      </c>
      <c r="D58">
        <f>(1/Gam*(1/M_1^2-1/F58^2)+(Gam+1)/2/Gam*LN((M_1^2/F58^2)*(1+F58^2*(Gam-1)/2)/(1+M_1^2*(Gam-1)/2)))*D/f</f>
        <v>98.960623265869131</v>
      </c>
      <c r="E58">
        <f>D58/3.28</f>
        <v>30.170921727399126</v>
      </c>
      <c r="F58">
        <f>F57+0.01</f>
        <v>0.80282128954713272</v>
      </c>
      <c r="G58">
        <f>(Gam/Z/Rg)^0.5*F58*(1+F58^2*(Gam-1)/2)^(-(Gam+1)/2/(Gam-1))</f>
        <v>9.0392411733317357E-2</v>
      </c>
      <c r="H58">
        <f>J58/(1+(Gam-1)/2*F58^2)^(Gam/(Gam-1))</f>
        <v>122.38794016815517</v>
      </c>
      <c r="I58" s="21">
        <f>H58*6.89476</f>
        <v>843.83547435378955</v>
      </c>
      <c r="J58">
        <f>mdot*P58^0.5/A/G58/gc^0.5/144</f>
        <v>187.08488951742055</v>
      </c>
      <c r="K58" s="21">
        <f>J58*6.89476</f>
        <v>1289.9054128491305</v>
      </c>
      <c r="L58">
        <f>P58/(1+(Gam-1)/2*F58^2)</f>
        <v>584.34531508411237</v>
      </c>
      <c r="M58">
        <f>L58/1.8</f>
        <v>324.63628615784017</v>
      </c>
      <c r="N58">
        <f>L58-'Example 7.1 - Pipe P1'!$C$8</f>
        <v>124.67531508411236</v>
      </c>
      <c r="O58">
        <f>M58-'Example 7.1 - Pipe P1'!$C$9</f>
        <v>51.486286157840198</v>
      </c>
      <c r="P58">
        <f>P57</f>
        <v>659.67000000000007</v>
      </c>
      <c r="Q58">
        <f>Q57</f>
        <v>366.48333333333335</v>
      </c>
      <c r="R58">
        <f>P58-'Example 7.1 - Pipe P1'!$C$8</f>
        <v>200.00000000000006</v>
      </c>
      <c r="S58">
        <f>Q58-'Example 7.1 - Pipe P1'!$C$9</f>
        <v>93.333333333333371</v>
      </c>
      <c r="T58">
        <f>H58/L58/Rg/Z*144</f>
        <v>0.56529182719653503</v>
      </c>
      <c r="U58">
        <f>T58*16.01846</f>
        <v>9.0551045222746094</v>
      </c>
      <c r="V58">
        <f>(Gam*H58/T58*gc*144)^0.5</f>
        <v>1185.0338393909647</v>
      </c>
      <c r="W58">
        <f>V58/3.28</f>
        <v>361.29080469236732</v>
      </c>
      <c r="X58">
        <f>F58*V58</f>
        <v>951.37039509684405</v>
      </c>
      <c r="Y58">
        <f>X58/3.28</f>
        <v>290.05194972464761</v>
      </c>
      <c r="AA58">
        <f>D58/$D$131</f>
        <v>0.79166178369461504</v>
      </c>
      <c r="AB58">
        <f>F58</f>
        <v>0.80282128954713272</v>
      </c>
      <c r="AC58">
        <f>H58/$H$5</f>
        <v>0.322210349485132</v>
      </c>
      <c r="AD58">
        <f>J58/$J$5</f>
        <v>0.46771222379355137</v>
      </c>
      <c r="AE58">
        <f>L58/$L$5</f>
        <v>0.89900109086260549</v>
      </c>
      <c r="AF58">
        <f>T58/$T$5</f>
        <v>0.35840929756377293</v>
      </c>
      <c r="AG58">
        <f>X58/$X$5</f>
        <v>2.7901061908754379</v>
      </c>
    </row>
    <row r="59" spans="3:33" x14ac:dyDescent="0.25">
      <c r="C59">
        <f>D/f</f>
        <v>14.705882352941176</v>
      </c>
      <c r="D59">
        <f>(1/Gam*(1/M_1^2-1/F59^2)+(Gam+1)/2/Gam*LN((M_1^2/F59^2)*(1+F59^2*(Gam-1)/2)/(1+M_1^2*(Gam-1)/2)))*D/f</f>
        <v>99.083120209114995</v>
      </c>
      <c r="E59">
        <f>D59/3.28</f>
        <v>30.2082683564375</v>
      </c>
      <c r="F59">
        <f>F58+0.01</f>
        <v>0.81282128954713273</v>
      </c>
      <c r="G59">
        <f>(Gam/Z/Rg)^0.5*F59*(1+F59^2*(Gam-1)/2)^(-(Gam+1)/2/(Gam-1))</f>
        <v>9.0736959308956297E-2</v>
      </c>
      <c r="H59">
        <f>J59/(1+(Gam-1)/2*F59^2)^(Gam/(Gam-1))</f>
        <v>120.70959120052594</v>
      </c>
      <c r="I59" s="21">
        <f>H59*6.89476</f>
        <v>832.2636610257382</v>
      </c>
      <c r="J59">
        <f>mdot*P59^0.5/A/G59/gc^0.5/144</f>
        <v>186.3744883136242</v>
      </c>
      <c r="K59" s="21">
        <f>J59*6.89476</f>
        <v>1285.0073670452434</v>
      </c>
      <c r="L59">
        <f>P59/(1+(Gam-1)/2*F59^2)</f>
        <v>582.67750586213822</v>
      </c>
      <c r="M59">
        <f>L59/1.8</f>
        <v>323.70972547896565</v>
      </c>
      <c r="N59">
        <f>L59-'Example 7.1 - Pipe P1'!$C$8</f>
        <v>123.0075058621382</v>
      </c>
      <c r="O59">
        <f>M59-'Example 7.1 - Pipe P1'!$C$9</f>
        <v>50.559725478965674</v>
      </c>
      <c r="P59">
        <f>P58</f>
        <v>659.67000000000007</v>
      </c>
      <c r="Q59">
        <f>Q58</f>
        <v>366.48333333333335</v>
      </c>
      <c r="R59">
        <f>P59-'Example 7.1 - Pipe P1'!$C$8</f>
        <v>200.00000000000006</v>
      </c>
      <c r="S59">
        <f>Q59-'Example 7.1 - Pipe P1'!$C$9</f>
        <v>93.333333333333371</v>
      </c>
      <c r="T59">
        <f>H59/L59/Rg/Z*144</f>
        <v>0.55913563811463118</v>
      </c>
      <c r="U59">
        <f>T59*16.01846</f>
        <v>8.9564918537136951</v>
      </c>
      <c r="V59">
        <f>(Gam*H59/T59*gc*144)^0.5</f>
        <v>1183.3414987717294</v>
      </c>
      <c r="W59">
        <f>V59/3.28</f>
        <v>360.77484718650288</v>
      </c>
      <c r="X59">
        <f>F59*V59</f>
        <v>961.84516300627388</v>
      </c>
      <c r="Y59">
        <f>X59/3.28</f>
        <v>293.24547652630304</v>
      </c>
      <c r="AA59">
        <f>D59/$D$131</f>
        <v>0.79264173051979447</v>
      </c>
      <c r="AB59">
        <f>F59</f>
        <v>0.81282128954713273</v>
      </c>
      <c r="AC59">
        <f>H59/$H$5</f>
        <v>0.31779176537729575</v>
      </c>
      <c r="AD59">
        <f>J59/$J$5</f>
        <v>0.4659362207840605</v>
      </c>
      <c r="AE59">
        <f>L59/$L$5</f>
        <v>0.89643520683615507</v>
      </c>
      <c r="AF59">
        <f>T59/$T$5</f>
        <v>0.35450611818214744</v>
      </c>
      <c r="AG59">
        <f>X59/$X$5</f>
        <v>2.8208257875148819</v>
      </c>
    </row>
    <row r="60" spans="3:33" x14ac:dyDescent="0.25">
      <c r="C60">
        <f>D/f</f>
        <v>14.705882352941176</v>
      </c>
      <c r="D60">
        <f>(1/Gam*(1/M_1^2-1/F60^2)+(Gam+1)/2/Gam*LN((M_1^2/F60^2)*(1+F60^2*(Gam-1)/2)/(1+M_1^2*(Gam-1)/2)))*D/f</f>
        <v>99.195332083995197</v>
      </c>
      <c r="E60">
        <f>D60/3.28</f>
        <v>30.242479293900978</v>
      </c>
      <c r="F60">
        <f>F59+0.01</f>
        <v>0.82282128954713274</v>
      </c>
      <c r="G60">
        <f>(Gam/Z/Rg)^0.5*F60*(1+F60^2*(Gam-1)/2)^(-(Gam+1)/2/(Gam-1))</f>
        <v>9.106163467584534E-2</v>
      </c>
      <c r="H60">
        <f>J60/(1+(Gam-1)/2*F60^2)^(Gam/(Gam-1))</f>
        <v>119.07066828181728</v>
      </c>
      <c r="I60" s="21">
        <f>H60*6.89476</f>
        <v>820.96368084274241</v>
      </c>
      <c r="J60">
        <f>mdot*P60^0.5/A/G60/gc^0.5/144</f>
        <v>185.70998008699959</v>
      </c>
      <c r="K60" s="21">
        <f>J60*6.89476</f>
        <v>1280.4257423046413</v>
      </c>
      <c r="L60">
        <f>P60/(1+(Gam-1)/2*F60^2)</f>
        <v>580.99872079293925</v>
      </c>
      <c r="M60">
        <f>L60/1.8</f>
        <v>322.77706710718849</v>
      </c>
      <c r="N60">
        <f>L60-'Example 7.1 - Pipe P1'!$C$8</f>
        <v>121.32872079293924</v>
      </c>
      <c r="O60">
        <f>M60-'Example 7.1 - Pipe P1'!$C$9</f>
        <v>49.627067107188509</v>
      </c>
      <c r="P60">
        <f>P59</f>
        <v>659.67000000000007</v>
      </c>
      <c r="Q60">
        <f>Q59</f>
        <v>366.48333333333335</v>
      </c>
      <c r="R60">
        <f>P60-'Example 7.1 - Pipe P1'!$C$8</f>
        <v>200.00000000000006</v>
      </c>
      <c r="S60">
        <f>Q60-'Example 7.1 - Pipe P1'!$C$9</f>
        <v>93.333333333333371</v>
      </c>
      <c r="T60">
        <f>H60/L60/Rg/Z*144</f>
        <v>0.553137703792694</v>
      </c>
      <c r="U60">
        <f>T60*16.01846</f>
        <v>8.8604141826951182</v>
      </c>
      <c r="V60">
        <f>(Gam*H60/T60*gc*144)^0.5</f>
        <v>1181.6355731146875</v>
      </c>
      <c r="W60">
        <f>V60/3.28</f>
        <v>360.25474790081938</v>
      </c>
      <c r="X60">
        <f>F60*V60</f>
        <v>972.27490604499246</v>
      </c>
      <c r="Y60">
        <f>X60/3.28</f>
        <v>296.42527623322945</v>
      </c>
      <c r="AA60">
        <f>D60/$D$131</f>
        <v>0.79353939920949856</v>
      </c>
      <c r="AB60">
        <f>F60</f>
        <v>0.82282128954713274</v>
      </c>
      <c r="AC60">
        <f>H60/$H$5</f>
        <v>0.31347697810584763</v>
      </c>
      <c r="AD60">
        <f>J60/$J$5</f>
        <v>0.46427495021749898</v>
      </c>
      <c r="AE60">
        <f>L60/$L$5</f>
        <v>0.89385243673502668</v>
      </c>
      <c r="AF60">
        <f>T60/$T$5</f>
        <v>0.35070327631581394</v>
      </c>
      <c r="AG60">
        <f>X60/$X$5</f>
        <v>2.8514133386637766</v>
      </c>
    </row>
    <row r="61" spans="3:33" x14ac:dyDescent="0.25">
      <c r="C61">
        <f>D/f</f>
        <v>14.705882352941176</v>
      </c>
      <c r="D61">
        <f>(1/Gam*(1/M_1^2-1/F61^2)+(Gam+1)/2/Gam*LN((M_1^2/F61^2)*(1+F61^2*(Gam-1)/2)/(1+M_1^2*(Gam-1)/2)))*D/f</f>
        <v>99.29785293419495</v>
      </c>
      <c r="E61">
        <f>D61/3.28</f>
        <v>30.273735650669195</v>
      </c>
      <c r="F61">
        <f>F60+0.01</f>
        <v>0.83282128954713275</v>
      </c>
      <c r="G61">
        <f>(Gam/Z/Rg)^0.5*F61*(1+F61^2*(Gam-1)/2)^(-(Gam+1)/2/(Gam-1))</f>
        <v>9.1366620104909896E-2</v>
      </c>
      <c r="H61">
        <f>J61/(1+(Gam-1)/2*F61^2)^(Gam/(Gam-1))</f>
        <v>117.46977286275701</v>
      </c>
      <c r="I61" s="21">
        <f>H61*6.89476</f>
        <v>809.92589114322254</v>
      </c>
      <c r="J61">
        <f>mdot*P61^0.5/A/G61/gc^0.5/144</f>
        <v>185.09007275220523</v>
      </c>
      <c r="K61" s="21">
        <f>J61*6.89476</f>
        <v>1276.1516300089945</v>
      </c>
      <c r="L61">
        <f>P61/(1+(Gam-1)/2*F61^2)</f>
        <v>579.30923138317166</v>
      </c>
      <c r="M61">
        <f>L61/1.8</f>
        <v>321.83846187953981</v>
      </c>
      <c r="N61">
        <f>L61-'Example 7.1 - Pipe P1'!$C$8</f>
        <v>119.63923138317165</v>
      </c>
      <c r="O61">
        <f>M61-'Example 7.1 - Pipe P1'!$C$9</f>
        <v>48.68846187953983</v>
      </c>
      <c r="P61">
        <f>P60</f>
        <v>659.67000000000007</v>
      </c>
      <c r="Q61">
        <f>Q60</f>
        <v>366.48333333333335</v>
      </c>
      <c r="R61">
        <f>P61-'Example 7.1 - Pipe P1'!$C$8</f>
        <v>200.00000000000006</v>
      </c>
      <c r="S61">
        <f>Q61-'Example 7.1 - Pipe P1'!$C$9</f>
        <v>93.333333333333371</v>
      </c>
      <c r="T61">
        <f>H61/L61/Rg/Z*144</f>
        <v>0.54729228678336062</v>
      </c>
      <c r="U61">
        <f>T61*16.01846</f>
        <v>8.766779604147791</v>
      </c>
      <c r="V61">
        <f>(Gam*H61/T61*gc*144)^0.5</f>
        <v>1179.9162799935361</v>
      </c>
      <c r="W61">
        <f>V61/3.28</f>
        <v>359.73057316876105</v>
      </c>
      <c r="X61">
        <f>F61*V61</f>
        <v>982.65939786187255</v>
      </c>
      <c r="Y61">
        <f>X61/3.28</f>
        <v>299.59127983593675</v>
      </c>
      <c r="AA61">
        <f>D61/$D$131</f>
        <v>0.794359541973929</v>
      </c>
      <c r="AB61">
        <f>F61</f>
        <v>0.83282128954713275</v>
      </c>
      <c r="AC61">
        <f>H61/$H$5</f>
        <v>0.30926230571446794</v>
      </c>
      <c r="AD61">
        <f>J61/$J$5</f>
        <v>0.46272518188051309</v>
      </c>
      <c r="AE61">
        <f>L61/$L$5</f>
        <v>0.89125319826562388</v>
      </c>
      <c r="AF61">
        <f>T61/$T$5</f>
        <v>0.34699713427821793</v>
      </c>
      <c r="AG61">
        <f>X61/$X$5</f>
        <v>2.8818681804968809</v>
      </c>
    </row>
    <row r="62" spans="3:33" x14ac:dyDescent="0.25">
      <c r="C62">
        <f>D/f</f>
        <v>14.705882352941176</v>
      </c>
      <c r="D62">
        <f>(1/Gam*(1/M_1^2-1/F62^2)+(Gam+1)/2/Gam*LN((M_1^2/F62^2)*(1+F62^2*(Gam-1)/2)/(1+M_1^2*(Gam-1)/2)))*D/f</f>
        <v>99.391239438107675</v>
      </c>
      <c r="E62">
        <f>D62/3.28</f>
        <v>30.302207145764537</v>
      </c>
      <c r="F62">
        <f>F61+0.01</f>
        <v>0.84282128954713276</v>
      </c>
      <c r="G62">
        <f>(Gam/Z/Rg)^0.5*F62*(1+F62^2*(Gam-1)/2)^(-(Gam+1)/2/(Gam-1))</f>
        <v>9.1652104351007346E-2</v>
      </c>
      <c r="H62">
        <f>J62/(1+(Gam-1)/2*F62^2)^(Gam/(Gam-1))</f>
        <v>115.90557276008991</v>
      </c>
      <c r="I62" s="21">
        <f>H62*6.89476</f>
        <v>799.14110684335753</v>
      </c>
      <c r="J62">
        <f>mdot*P62^0.5/A/G62/gc^0.5/144</f>
        <v>184.51354152846574</v>
      </c>
      <c r="K62" s="21">
        <f>J62*6.89476</f>
        <v>1272.1765855888043</v>
      </c>
      <c r="L62">
        <f>P62/(1+(Gam-1)/2*F62^2)</f>
        <v>577.60930825917546</v>
      </c>
      <c r="M62">
        <f>L62/1.8</f>
        <v>320.89406014398634</v>
      </c>
      <c r="N62">
        <f>L62-'Example 7.1 - Pipe P1'!$C$8</f>
        <v>117.93930825917545</v>
      </c>
      <c r="O62">
        <f>M62-'Example 7.1 - Pipe P1'!$C$9</f>
        <v>47.74406014398636</v>
      </c>
      <c r="P62">
        <f>P61</f>
        <v>659.67000000000007</v>
      </c>
      <c r="Q62">
        <f>Q61</f>
        <v>366.48333333333335</v>
      </c>
      <c r="R62">
        <f>P62-'Example 7.1 - Pipe P1'!$C$8</f>
        <v>200.00000000000006</v>
      </c>
      <c r="S62">
        <f>Q62-'Example 7.1 - Pipe P1'!$C$9</f>
        <v>93.333333333333371</v>
      </c>
      <c r="T62">
        <f>H62/L62/Rg/Z*144</f>
        <v>0.54159392175775256</v>
      </c>
      <c r="U62">
        <f>T62*16.01846</f>
        <v>8.6755005719196898</v>
      </c>
      <c r="V62">
        <f>(Gam*H62/T62*gc*144)^0.5</f>
        <v>1178.1838368941821</v>
      </c>
      <c r="W62">
        <f>V62/3.28</f>
        <v>359.20238929700679</v>
      </c>
      <c r="X62">
        <f>F62*V62</f>
        <v>992.99842073474338</v>
      </c>
      <c r="Y62">
        <f>X62/3.28</f>
        <v>302.74342095571444</v>
      </c>
      <c r="AA62">
        <f>D62/$D$131</f>
        <v>0.79510661210971345</v>
      </c>
      <c r="AB62">
        <f>F62</f>
        <v>0.84282128954713276</v>
      </c>
      <c r="AC62">
        <f>H62/$H$5</f>
        <v>0.30514424096844334</v>
      </c>
      <c r="AD62">
        <f>J62/$J$5</f>
        <v>0.46128385382116432</v>
      </c>
      <c r="AE62">
        <f>L62/$L$5</f>
        <v>0.88863790778000551</v>
      </c>
      <c r="AF62">
        <f>T62/$T$5</f>
        <v>0.34338422691279785</v>
      </c>
      <c r="AG62">
        <f>X62/$X$5</f>
        <v>2.9121896744952971</v>
      </c>
    </row>
    <row r="63" spans="3:33" x14ac:dyDescent="0.25">
      <c r="C63">
        <f>D/f</f>
        <v>14.705882352941176</v>
      </c>
      <c r="D63">
        <f>(1/Gam*(1/M_1^2-1/F63^2)+(Gam+1)/2/Gam*LN((M_1^2/F63^2)*(1+F63^2*(Gam-1)/2)/(1+M_1^2*(Gam-1)/2)))*D/f</f>
        <v>99.47601359749774</v>
      </c>
      <c r="E63">
        <f>D63/3.28</f>
        <v>30.328052926066388</v>
      </c>
      <c r="F63">
        <f>F62+0.01</f>
        <v>0.85282128954713277</v>
      </c>
      <c r="G63">
        <f>(Gam/Z/Rg)^0.5*F63*(1+F63^2*(Gam-1)/2)^(-(Gam+1)/2/(Gam-1))</f>
        <v>9.1918282390667058E-2</v>
      </c>
      <c r="H63">
        <f>J63/(1+(Gam-1)/2*F63^2)^(Gam/(Gam-1))</f>
        <v>114.37679825980869</v>
      </c>
      <c r="I63" s="21">
        <f>H63*6.89476</f>
        <v>788.6005735697986</v>
      </c>
      <c r="J63">
        <f>mdot*P63^0.5/A/G63/gc^0.5/144</f>
        <v>183.97922505194612</v>
      </c>
      <c r="K63" s="21">
        <f>J63*6.89476</f>
        <v>1268.492601719156</v>
      </c>
      <c r="L63">
        <f>P63/(1+(Gam-1)/2*F63^2)</f>
        <v>575.89922108519556</v>
      </c>
      <c r="M63">
        <f>L63/1.8</f>
        <v>319.94401171399755</v>
      </c>
      <c r="N63">
        <f>L63-'Example 7.1 - Pipe P1'!$C$8</f>
        <v>116.22922108519555</v>
      </c>
      <c r="O63">
        <f>M63-'Example 7.1 - Pipe P1'!$C$9</f>
        <v>46.794011713997577</v>
      </c>
      <c r="P63">
        <f>P62</f>
        <v>659.67000000000007</v>
      </c>
      <c r="Q63">
        <f>Q62</f>
        <v>366.48333333333335</v>
      </c>
      <c r="R63">
        <f>P63-'Example 7.1 - Pipe P1'!$C$8</f>
        <v>200.00000000000006</v>
      </c>
      <c r="S63">
        <f>Q63-'Example 7.1 - Pipe P1'!$C$9</f>
        <v>93.333333333333371</v>
      </c>
      <c r="T63">
        <f>H63/L63/Rg/Z*144</f>
        <v>0.53603739955830165</v>
      </c>
      <c r="U63">
        <f>T63*16.01846</f>
        <v>8.5864936433286729</v>
      </c>
      <c r="V63">
        <f>(Gam*H63/T63*gc*144)^0.5</f>
        <v>1176.4384611550852</v>
      </c>
      <c r="W63">
        <f>V63/3.28</f>
        <v>358.67026254728211</v>
      </c>
      <c r="X63">
        <f>F63*V63</f>
        <v>1003.2917655151242</v>
      </c>
      <c r="Y63">
        <f>X63/3.28</f>
        <v>305.88163582778179</v>
      </c>
      <c r="AA63">
        <f>D63/$D$131</f>
        <v>0.7957847855085779</v>
      </c>
      <c r="AB63">
        <f>F63</f>
        <v>0.85282128954713277</v>
      </c>
      <c r="AC63">
        <f>H63/$H$5</f>
        <v>0.30111944109565542</v>
      </c>
      <c r="AD63">
        <f>J63/$J$5</f>
        <v>0.45994806262986532</v>
      </c>
      <c r="AE63">
        <f>L63/$L$5</f>
        <v>0.88600698015007018</v>
      </c>
      <c r="AF63">
        <f>T63/$T$5</f>
        <v>0.33986125148207341</v>
      </c>
      <c r="AG63">
        <f>X63/$X$5</f>
        <v>2.9423772072843875</v>
      </c>
    </row>
    <row r="64" spans="3:33" x14ac:dyDescent="0.25">
      <c r="C64">
        <f>D/f</f>
        <v>14.705882352941176</v>
      </c>
      <c r="D64">
        <f>(1/Gam*(1/M_1^2-1/F64^2)+(Gam+1)/2/Gam*LN((M_1^2/F64^2)*(1+F64^2*(Gam-1)/2)/(1+M_1^2*(Gam-1)/2)))*D/f</f>
        <v>99.552665205880714</v>
      </c>
      <c r="E64">
        <f>D64/3.28</f>
        <v>30.351422318866074</v>
      </c>
      <c r="F64">
        <f>F63+0.01</f>
        <v>0.86282128954713277</v>
      </c>
      <c r="G64">
        <f>(Gam/Z/Rg)^0.5*F64*(1+F64^2*(Gam-1)/2)^(-(Gam+1)/2/(Gam-1))</f>
        <v>9.2165355160064105E-2</v>
      </c>
      <c r="H64">
        <f>J64/(1+(Gam-1)/2*F64^2)^(Gam/(Gam-1))</f>
        <v>112.88223849146161</v>
      </c>
      <c r="I64" s="21">
        <f>H64*6.89476</f>
        <v>778.29594266138974</v>
      </c>
      <c r="J64">
        <f>mdot*P64^0.5/A/G64/gc^0.5/144</f>
        <v>183.4860217591669</v>
      </c>
      <c r="K64" s="21">
        <f>J64*6.89476</f>
        <v>1265.0920833842335</v>
      </c>
      <c r="L64">
        <f>P64/(1+(Gam-1)/2*F64^2)</f>
        <v>574.17923848352655</v>
      </c>
      <c r="M64">
        <f>L64/1.8</f>
        <v>318.98846582418139</v>
      </c>
      <c r="N64">
        <f>L64-'Example 7.1 - Pipe P1'!$C$8</f>
        <v>114.50923848352653</v>
      </c>
      <c r="O64">
        <f>M64-'Example 7.1 - Pipe P1'!$C$9</f>
        <v>45.838465824181412</v>
      </c>
      <c r="P64">
        <f>P63</f>
        <v>659.67000000000007</v>
      </c>
      <c r="Q64">
        <f>Q63</f>
        <v>366.48333333333335</v>
      </c>
      <c r="R64">
        <f>P64-'Example 7.1 - Pipe P1'!$C$8</f>
        <v>200.00000000000006</v>
      </c>
      <c r="S64">
        <f>Q64-'Example 7.1 - Pipe P1'!$C$9</f>
        <v>93.333333333333371</v>
      </c>
      <c r="T64">
        <f>H64/L64/Rg/Z*144</f>
        <v>0.53061775236048958</v>
      </c>
      <c r="U64">
        <f>T64*16.01846</f>
        <v>8.4996792414764091</v>
      </c>
      <c r="V64">
        <f>(Gam*H64/T64*gc*144)^0.5</f>
        <v>1174.6803699086117</v>
      </c>
      <c r="W64">
        <f>V64/3.28</f>
        <v>358.13425911847924</v>
      </c>
      <c r="X64">
        <f>F64*V64</f>
        <v>1013.5392315702513</v>
      </c>
      <c r="Y64">
        <f>X64/3.28</f>
        <v>309.00586328361322</v>
      </c>
      <c r="AA64">
        <f>D64/$D$131</f>
        <v>0.79639798040380905</v>
      </c>
      <c r="AB64">
        <f>F64</f>
        <v>0.86282128954713277</v>
      </c>
      <c r="AC64">
        <f>H64/$H$5</f>
        <v>0.29718471824123127</v>
      </c>
      <c r="AD64">
        <f>J64/$J$5</f>
        <v>0.45871505439791727</v>
      </c>
      <c r="AE64">
        <f>L64/$L$5</f>
        <v>0.88336082864470111</v>
      </c>
      <c r="AF64">
        <f>T64/$T$5</f>
        <v>0.33642505825981411</v>
      </c>
      <c r="AG64">
        <f>X64/$X$5</f>
        <v>2.9724301904637573</v>
      </c>
    </row>
    <row r="65" spans="1:33" x14ac:dyDescent="0.25">
      <c r="C65">
        <f>D/f</f>
        <v>14.705882352941176</v>
      </c>
      <c r="D65">
        <f>(1/Gam*(1/M_1^2-1/F65^2)+(Gam+1)/2/Gam*LN((M_1^2/F65^2)*(1+F65^2*(Gam-1)/2)/(1+M_1^2*(Gam-1)/2)))*D/f</f>
        <v>99.621654116892671</v>
      </c>
      <c r="E65">
        <f>D65/3.28</f>
        <v>30.372455523442888</v>
      </c>
      <c r="F65">
        <f>F64+0.01</f>
        <v>0.87282128954713278</v>
      </c>
      <c r="G65">
        <f>(Gam/Z/Rg)^0.5*F65*(1+F65^2*(Gam-1)/2)^(-(Gam+1)/2/(Gam-1))</f>
        <v>9.2393529293539139E-2</v>
      </c>
      <c r="H65">
        <f>J65/(1+(Gam-1)/2*F65^2)^(Gam/(Gam-1))</f>
        <v>111.42073805179756</v>
      </c>
      <c r="I65" s="21">
        <f>H65*6.89476</f>
        <v>768.21924789001173</v>
      </c>
      <c r="J65">
        <f>mdot*P65^0.5/A/G65/gc^0.5/144</f>
        <v>183.03288651972102</v>
      </c>
      <c r="K65" s="21">
        <f>J65*6.89476</f>
        <v>1261.9678246607116</v>
      </c>
      <c r="L65">
        <f>P65/(1+(Gam-1)/2*F65^2)</f>
        <v>572.44962795660274</v>
      </c>
      <c r="M65">
        <f>L65/1.8</f>
        <v>318.02757108700149</v>
      </c>
      <c r="N65">
        <f>L65-'Example 7.1 - Pipe P1'!$C$8</f>
        <v>112.77962795660272</v>
      </c>
      <c r="O65">
        <f>M65-'Example 7.1 - Pipe P1'!$C$9</f>
        <v>44.877571087001513</v>
      </c>
      <c r="P65">
        <f>P64</f>
        <v>659.67000000000007</v>
      </c>
      <c r="Q65">
        <f>Q64</f>
        <v>366.48333333333335</v>
      </c>
      <c r="R65">
        <f>P65-'Example 7.1 - Pipe P1'!$C$8</f>
        <v>200.00000000000006</v>
      </c>
      <c r="S65">
        <f>Q65-'Example 7.1 - Pipe P1'!$C$9</f>
        <v>93.333333333333371</v>
      </c>
      <c r="T65">
        <f>H65/L65/Rg/Z*144</f>
        <v>0.5253302398545604</v>
      </c>
      <c r="U65">
        <f>T65*16.01846</f>
        <v>8.4149814339006817</v>
      </c>
      <c r="V65">
        <f>(Gam*H65/T65*gc*144)^0.5</f>
        <v>1172.9097800234269</v>
      </c>
      <c r="W65">
        <f>V65/3.28</f>
        <v>357.59444512909363</v>
      </c>
      <c r="X65">
        <f>F65*V65</f>
        <v>1023.7406267224914</v>
      </c>
      <c r="Y65">
        <f>X65/3.28</f>
        <v>312.11604473246689</v>
      </c>
      <c r="AA65">
        <f>D65/$D$131</f>
        <v>0.79694987551667773</v>
      </c>
      <c r="AB65">
        <f>F65</f>
        <v>0.87282128954713278</v>
      </c>
      <c r="AC65">
        <f>H65/$H$5</f>
        <v>0.29333703057862481</v>
      </c>
      <c r="AD65">
        <f>J65/$J$5</f>
        <v>0.45758221629930257</v>
      </c>
      <c r="AE65">
        <f>L65/$L$5</f>
        <v>0.88069986480990403</v>
      </c>
      <c r="AF65">
        <f>T65/$T$5</f>
        <v>0.33307264176989576</v>
      </c>
      <c r="AG65">
        <f>X65/$X$5</f>
        <v>3.0023480604295707</v>
      </c>
    </row>
    <row r="66" spans="1:33" x14ac:dyDescent="0.25">
      <c r="C66">
        <f>D/f</f>
        <v>14.705882352941176</v>
      </c>
      <c r="D66">
        <f>(1/Gam*(1/M_1^2-1/F66^2)+(Gam+1)/2/Gam*LN((M_1^2/F66^2)*(1+F66^2*(Gam-1)/2)/(1+M_1^2*(Gam-1)/2)))*D/f</f>
        <v>99.683412330852462</v>
      </c>
      <c r="E66">
        <f>D66/3.28</f>
        <v>30.391284247211118</v>
      </c>
      <c r="F66">
        <f>F65+0.01</f>
        <v>0.88282128954713279</v>
      </c>
      <c r="G66">
        <f>(Gam/Z/Rg)^0.5*F66*(1+F66^2*(Gam-1)/2)^(-(Gam+1)/2/(Gam-1))</f>
        <v>9.2603016862965043E-2</v>
      </c>
      <c r="H66">
        <f>J66/(1+(Gam-1)/2*F66^2)^(Gam/(Gam-1))</f>
        <v>109.99119385798014</v>
      </c>
      <c r="I66" s="21">
        <f>H66*6.89476</f>
        <v>758.36288376424704</v>
      </c>
      <c r="J66">
        <f>mdot*P66^0.5/A/G66/gc^0.5/144</f>
        <v>182.61882749852558</v>
      </c>
      <c r="K66" s="21">
        <f>J66*6.89476</f>
        <v>1259.1129870837342</v>
      </c>
      <c r="L66">
        <f>P66/(1+(Gam-1)/2*F66^2)</f>
        <v>570.71065581104801</v>
      </c>
      <c r="M66">
        <f>L66/1.8</f>
        <v>317.06147545058224</v>
      </c>
      <c r="N66">
        <f>L66-'Example 7.1 - Pipe P1'!$C$8</f>
        <v>111.040655811048</v>
      </c>
      <c r="O66">
        <f>M66-'Example 7.1 - Pipe P1'!$C$9</f>
        <v>43.911475450582259</v>
      </c>
      <c r="P66">
        <f>P65</f>
        <v>659.67000000000007</v>
      </c>
      <c r="Q66">
        <f>Q65</f>
        <v>366.48333333333335</v>
      </c>
      <c r="R66">
        <f>P66-'Example 7.1 - Pipe P1'!$C$8</f>
        <v>200.00000000000006</v>
      </c>
      <c r="S66">
        <f>Q66-'Example 7.1 - Pipe P1'!$C$9</f>
        <v>93.333333333333371</v>
      </c>
      <c r="T66">
        <f>H66/L66/Rg/Z*144</f>
        <v>0.52017033636633103</v>
      </c>
      <c r="U66">
        <f>T66*16.01846</f>
        <v>8.3323277262706199</v>
      </c>
      <c r="V66">
        <f>(Gam*H66/T66*gc*144)^0.5</f>
        <v>1171.1269080479356</v>
      </c>
      <c r="W66">
        <f>V66/3.28</f>
        <v>357.0508865999804</v>
      </c>
      <c r="X66">
        <f>F66*V66</f>
        <v>1033.8957671862249</v>
      </c>
      <c r="Y66">
        <f>X66/3.28</f>
        <v>315.21212414214176</v>
      </c>
      <c r="AA66">
        <f>D66/$D$131</f>
        <v>0.79744392674844744</v>
      </c>
      <c r="AB66">
        <f>F66</f>
        <v>0.88282128954713279</v>
      </c>
      <c r="AC66">
        <f>H66/$H$5</f>
        <v>0.28957347402508293</v>
      </c>
      <c r="AD66">
        <f>J66/$J$5</f>
        <v>0.45654706874631396</v>
      </c>
      <c r="AE66">
        <f>L66/$L$5</f>
        <v>0.87802449835195895</v>
      </c>
      <c r="AF66">
        <f>T66/$T$5</f>
        <v>0.32980113262056893</v>
      </c>
      <c r="AG66">
        <f>X66/$X$5</f>
        <v>3.0321302781894457</v>
      </c>
    </row>
    <row r="67" spans="1:33" x14ac:dyDescent="0.25">
      <c r="C67">
        <f>D/f</f>
        <v>14.705882352941176</v>
      </c>
      <c r="D67">
        <f>(1/Gam*(1/M_1^2-1/F67^2)+(Gam+1)/2/Gam*LN((M_1^2/F67^2)*(1+F67^2*(Gam-1)/2)/(1+M_1^2*(Gam-1)/2)))*D/f</f>
        <v>99.738345915883102</v>
      </c>
      <c r="E67">
        <f>D67/3.28</f>
        <v>30.408032291427777</v>
      </c>
      <c r="F67">
        <f>F66+0.01</f>
        <v>0.8928212895471328</v>
      </c>
      <c r="G67">
        <f>(Gam/Z/Rg)^0.5*F67*(1+F67^2*(Gam-1)/2)^(-(Gam+1)/2/(Gam-1))</f>
        <v>9.2794035118251739E-2</v>
      </c>
      <c r="H67">
        <f>J67/(1+(Gam-1)/2*F67^2)^(Gam/(Gam-1))</f>
        <v>108.59255221237316</v>
      </c>
      <c r="I67" s="21">
        <f>H67*6.89476</f>
        <v>748.71958529178198</v>
      </c>
      <c r="J67">
        <f>mdot*P67^0.5/A/G67/gc^0.5/144</f>
        <v>182.24290322961309</v>
      </c>
      <c r="K67" s="21">
        <f>J67*6.89476</f>
        <v>1256.5210794714071</v>
      </c>
      <c r="L67">
        <f>P67/(1+(Gam-1)/2*F67^2)</f>
        <v>568.96258708370215</v>
      </c>
      <c r="M67">
        <f>L67/1.8</f>
        <v>316.09032615761231</v>
      </c>
      <c r="N67">
        <f>L67-'Example 7.1 - Pipe P1'!$C$8</f>
        <v>109.29258708370213</v>
      </c>
      <c r="O67">
        <f>M67-'Example 7.1 - Pipe P1'!$C$9</f>
        <v>42.940326157612333</v>
      </c>
      <c r="P67">
        <f>P66</f>
        <v>659.67000000000007</v>
      </c>
      <c r="Q67">
        <f>Q66</f>
        <v>366.48333333333335</v>
      </c>
      <c r="R67">
        <f>P67-'Example 7.1 - Pipe P1'!$C$8</f>
        <v>200.00000000000006</v>
      </c>
      <c r="S67">
        <f>Q67-'Example 7.1 - Pipe P1'!$C$9</f>
        <v>93.333333333333371</v>
      </c>
      <c r="T67">
        <f>H67/L67/Rg/Z*144</f>
        <v>0.5151337188434687</v>
      </c>
      <c r="U67">
        <f>T67*16.01846</f>
        <v>8.2516488699453507</v>
      </c>
      <c r="V67">
        <f>(Gam*H67/T67*gc*144)^0.5</f>
        <v>1169.3319701547857</v>
      </c>
      <c r="W67">
        <f>V67/3.28</f>
        <v>356.50364943743472</v>
      </c>
      <c r="X67">
        <f>F67*V67</f>
        <v>1044.0044775022852</v>
      </c>
      <c r="Y67">
        <f>X67/3.28</f>
        <v>318.29404801898943</v>
      </c>
      <c r="AA67">
        <f>D67/$D$131</f>
        <v>0.79788338254889501</v>
      </c>
      <c r="AB67">
        <f>F67</f>
        <v>0.8928212895471328</v>
      </c>
      <c r="AC67">
        <f>H67/$H$5</f>
        <v>0.28589127451411556</v>
      </c>
      <c r="AD67">
        <f>J67/$J$5</f>
        <v>0.45560725807403274</v>
      </c>
      <c r="AE67">
        <f>L67/$L$5</f>
        <v>0.87533513702361399</v>
      </c>
      <c r="AF67">
        <f>T67/$T$5</f>
        <v>0.32660778988745548</v>
      </c>
      <c r="AG67">
        <f>X67/$X$5</f>
        <v>3.0617763291701841</v>
      </c>
    </row>
    <row r="68" spans="1:33" x14ac:dyDescent="0.25">
      <c r="C68">
        <f>D/f</f>
        <v>14.705882352941176</v>
      </c>
      <c r="D68">
        <f>(1/Gam*(1/M_1^2-1/F68^2)+(Gam+1)/2/Gam*LN((M_1^2/F68^2)*(1+F68^2*(Gam-1)/2)/(1+M_1^2*(Gam-1)/2)))*D/f</f>
        <v>99.786836778325792</v>
      </c>
      <c r="E68">
        <f>D68/3.28</f>
        <v>30.422816090952988</v>
      </c>
      <c r="F68">
        <f>F67+0.01</f>
        <v>0.90282128954713281</v>
      </c>
      <c r="G68">
        <f>(Gam/Z/Rg)^0.5*F68*(1+F68^2*(Gam-1)/2)^(-(Gam+1)/2/(Gam-1))</f>
        <v>9.2966806229270713E-2</v>
      </c>
      <c r="H68">
        <f>J68/(1+(Gam-1)/2*F68^2)^(Gam/(Gam-1))</f>
        <v>107.22380606249457</v>
      </c>
      <c r="I68" s="21">
        <f>H68*6.89476</f>
        <v>739.2824090874451</v>
      </c>
      <c r="J68">
        <f>mdot*P68^0.5/A/G68/gc^0.5/144</f>
        <v>181.90421988505832</v>
      </c>
      <c r="K68" s="21">
        <f>J68*6.89476</f>
        <v>1254.1859390947047</v>
      </c>
      <c r="L68">
        <f>P68/(1+(Gam-1)/2*F68^2)</f>
        <v>567.20568546963341</v>
      </c>
      <c r="M68">
        <f>L68/1.8</f>
        <v>315.11426970535189</v>
      </c>
      <c r="N68">
        <f>L68-'Example 7.1 - Pipe P1'!$C$8</f>
        <v>107.53568546963339</v>
      </c>
      <c r="O68">
        <f>M68-'Example 7.1 - Pipe P1'!$C$9</f>
        <v>41.96426970535191</v>
      </c>
      <c r="P68">
        <f>P67</f>
        <v>659.67000000000007</v>
      </c>
      <c r="Q68">
        <f>Q67</f>
        <v>366.48333333333335</v>
      </c>
      <c r="R68">
        <f>P68-'Example 7.1 - Pipe P1'!$C$8</f>
        <v>200.00000000000006</v>
      </c>
      <c r="S68">
        <f>Q68-'Example 7.1 - Pipe P1'!$C$9</f>
        <v>93.333333333333371</v>
      </c>
      <c r="T68">
        <f>H68/L68/Rg/Z*144</f>
        <v>0.51021625564013051</v>
      </c>
      <c r="U68">
        <f>T68*16.01846</f>
        <v>8.1728786823212047</v>
      </c>
      <c r="V68">
        <f>(Gam*H68/T68*gc*144)^0.5</f>
        <v>1167.5251820864542</v>
      </c>
      <c r="W68">
        <f>V68/3.28</f>
        <v>355.95279941660192</v>
      </c>
      <c r="X68">
        <f>F68*V68</f>
        <v>1054.0665904700436</v>
      </c>
      <c r="Y68">
        <f>X68/3.28</f>
        <v>321.36176538720844</v>
      </c>
      <c r="AA68">
        <f>D68/$D$131</f>
        <v>0.79827129807920794</v>
      </c>
      <c r="AB68">
        <f>F68</f>
        <v>0.90282128954713281</v>
      </c>
      <c r="AC68">
        <f>H68/$H$5</f>
        <v>0.2822877807817849</v>
      </c>
      <c r="AD68">
        <f>J68/$J$5</f>
        <v>0.45476054971264579</v>
      </c>
      <c r="AE68">
        <f>L68/$L$5</f>
        <v>0.87263218651333452</v>
      </c>
      <c r="AF68">
        <f>T68/$T$5</f>
        <v>0.32348999400272677</v>
      </c>
      <c r="AG68">
        <f>X68/$X$5</f>
        <v>3.0912857230185944</v>
      </c>
    </row>
    <row r="69" spans="1:33" x14ac:dyDescent="0.25">
      <c r="C69">
        <f>D/f</f>
        <v>14.705882352941176</v>
      </c>
      <c r="D69">
        <f>(1/Gam*(1/M_1^2-1/F69^2)+(Gam+1)/2/Gam*LN((M_1^2/F69^2)*(1+F69^2*(Gam-1)/2)/(1+M_1^2*(Gam-1)/2)))*D/f</f>
        <v>99.829244295724052</v>
      </c>
      <c r="E69">
        <f>D69/3.28</f>
        <v>30.435745212110994</v>
      </c>
      <c r="F69">
        <f>F68+0.01</f>
        <v>0.91282128954713282</v>
      </c>
      <c r="G69">
        <f>(Gam/Z/Rg)^0.5*F69*(1+F69^2*(Gam-1)/2)^(-(Gam+1)/2/(Gam-1))</f>
        <v>9.3121557029468643E-2</v>
      </c>
      <c r="H69">
        <f>J69/(1+(Gam-1)/2*F69^2)^(Gam/(Gam-1))</f>
        <v>105.88399244117377</v>
      </c>
      <c r="I69" s="21">
        <f>H69*6.89476</f>
        <v>730.04471572370721</v>
      </c>
      <c r="J69">
        <f>mdot*P69^0.5/A/G69/gc^0.5/144</f>
        <v>181.60192872407953</v>
      </c>
      <c r="K69" s="21">
        <f>J69*6.89476</f>
        <v>1252.1017140896345</v>
      </c>
      <c r="L69">
        <f>P69/(1+(Gam-1)/2*F69^2)</f>
        <v>565.44021325214976</v>
      </c>
      <c r="M69">
        <f>L69/1.8</f>
        <v>314.13345180674986</v>
      </c>
      <c r="N69">
        <f>L69-'Example 7.1 - Pipe P1'!$C$8</f>
        <v>105.77021325214974</v>
      </c>
      <c r="O69">
        <f>M69-'Example 7.1 - Pipe P1'!$C$9</f>
        <v>40.983451806749883</v>
      </c>
      <c r="P69">
        <f>P68</f>
        <v>659.67000000000007</v>
      </c>
      <c r="Q69">
        <f>Q68</f>
        <v>366.48333333333335</v>
      </c>
      <c r="R69">
        <f>P69-'Example 7.1 - Pipe P1'!$C$8</f>
        <v>200.00000000000006</v>
      </c>
      <c r="S69">
        <f>Q69-'Example 7.1 - Pipe P1'!$C$9</f>
        <v>93.333333333333371</v>
      </c>
      <c r="T69">
        <f>H69/L69/Rg/Z*144</f>
        <v>0.50541399603874126</v>
      </c>
      <c r="U69">
        <f>T69*16.01846</f>
        <v>8.0959538789867356</v>
      </c>
      <c r="V69">
        <f>(Gam*H69/T69*gc*144)^0.5</f>
        <v>1165.7067591019213</v>
      </c>
      <c r="W69">
        <f>V69/3.28</f>
        <v>355.39840216521992</v>
      </c>
      <c r="X69">
        <f>F69*V69</f>
        <v>1064.0819470772246</v>
      </c>
      <c r="Y69">
        <f>X69/3.28</f>
        <v>324.41522776744654</v>
      </c>
      <c r="AA69">
        <f>D69/$D$131</f>
        <v>0.79861054827547406</v>
      </c>
      <c r="AB69">
        <f>F69</f>
        <v>0.91282128954713282</v>
      </c>
      <c r="AC69">
        <f>H69/$H$5</f>
        <v>0.27876045762741547</v>
      </c>
      <c r="AD69">
        <f>J69/$J$5</f>
        <v>0.4540048218101988</v>
      </c>
      <c r="AE69">
        <f>L69/$L$5</f>
        <v>0.86991605033762653</v>
      </c>
      <c r="AF69">
        <f>T69/$T$5</f>
        <v>0.32044524011164599</v>
      </c>
      <c r="AG69">
        <f>X69/$X$5</f>
        <v>3.1206579933956609</v>
      </c>
    </row>
    <row r="70" spans="1:33" x14ac:dyDescent="0.25">
      <c r="C70">
        <f>D/f</f>
        <v>14.705882352941176</v>
      </c>
      <c r="D70">
        <f>(1/Gam*(1/M_1^2-1/F70^2)+(Gam+1)/2/Gam*LN((M_1^2/F70^2)*(1+F70^2*(Gam-1)/2)/(1+M_1^2*(Gam-1)/2)))*D/f</f>
        <v>99.865906824359598</v>
      </c>
      <c r="E70">
        <f>D70/3.28</f>
        <v>30.446922812304756</v>
      </c>
      <c r="F70">
        <f>F69+0.01</f>
        <v>0.92282128954713283</v>
      </c>
      <c r="G70">
        <f>(Gam/Z/Rg)^0.5*F70*(1+F70^2*(Gam-1)/2)^(-(Gam+1)/2/(Gam-1))</f>
        <v>9.3258518761430695E-2</v>
      </c>
      <c r="H70">
        <f>J70/(1+(Gam-1)/2*F70^2)^(Gam/(Gam-1))</f>
        <v>104.57219007324345</v>
      </c>
      <c r="I70" s="21">
        <f>H70*6.89476</f>
        <v>721.00015322939601</v>
      </c>
      <c r="J70">
        <f>mdot*P70^0.5/A/G70/gc^0.5/144</f>
        <v>181.33522370864463</v>
      </c>
      <c r="K70" s="21">
        <f>J70*6.89476</f>
        <v>1250.2628470174147</v>
      </c>
      <c r="L70">
        <f>P70/(1+(Gam-1)/2*F70^2)</f>
        <v>563.6664312348147</v>
      </c>
      <c r="M70">
        <f>L70/1.8</f>
        <v>313.1480173526748</v>
      </c>
      <c r="N70">
        <f>L70-'Example 7.1 - Pipe P1'!$C$8</f>
        <v>103.99643123481468</v>
      </c>
      <c r="O70">
        <f>M70-'Example 7.1 - Pipe P1'!$C$9</f>
        <v>39.998017352674822</v>
      </c>
      <c r="P70">
        <f>P69</f>
        <v>659.67000000000007</v>
      </c>
      <c r="Q70">
        <f>Q69</f>
        <v>366.48333333333335</v>
      </c>
      <c r="R70">
        <f>P70-'Example 7.1 - Pipe P1'!$C$8</f>
        <v>200.00000000000006</v>
      </c>
      <c r="S70">
        <f>Q70-'Example 7.1 - Pipe P1'!$C$9</f>
        <v>93.333333333333371</v>
      </c>
      <c r="T70">
        <f>H70/L70/Rg/Z*144</f>
        <v>0.50072316045299003</v>
      </c>
      <c r="U70">
        <f>T70*16.01846</f>
        <v>8.0208139167898036</v>
      </c>
      <c r="V70">
        <f>(Gam*H70/T70*gc*144)^0.5</f>
        <v>1163.8769159244484</v>
      </c>
      <c r="W70">
        <f>V70/3.28</f>
        <v>354.8405231476977</v>
      </c>
      <c r="X70">
        <f>F70*V70</f>
        <v>1074.0503964275395</v>
      </c>
      <c r="Y70">
        <f>X70/3.28</f>
        <v>327.45438915473767</v>
      </c>
      <c r="AA70">
        <f>D70/$D$131</f>
        <v>0.7989038399086158</v>
      </c>
      <c r="AB70">
        <f>F70</f>
        <v>0.92282128954713283</v>
      </c>
      <c r="AC70">
        <f>H70/$H$5</f>
        <v>0.2753068796127392</v>
      </c>
      <c r="AD70">
        <f>J70/$J$5</f>
        <v>0.45333805927161158</v>
      </c>
      <c r="AE70">
        <f>L70/$L$5</f>
        <v>0.86718712973644541</v>
      </c>
      <c r="AF70">
        <f>T70/$T$5</f>
        <v>0.31747113186102072</v>
      </c>
      <c r="AG70">
        <f>X70/$X$5</f>
        <v>3.1498926977643107</v>
      </c>
    </row>
    <row r="71" spans="1:33" x14ac:dyDescent="0.25">
      <c r="C71">
        <f>D/f</f>
        <v>14.705882352941176</v>
      </c>
      <c r="D71">
        <f>(1/Gam*(1/M_1^2-1/F71^2)+(Gam+1)/2/Gam*LN((M_1^2/F71^2)*(1+F71^2*(Gam-1)/2)/(1+M_1^2*(Gam-1)/2)))*D/f</f>
        <v>99.897143092162011</v>
      </c>
      <c r="E71">
        <f>D71/3.28</f>
        <v>30.456446064683544</v>
      </c>
      <c r="F71">
        <f>F70+0.01</f>
        <v>0.93282128954713284</v>
      </c>
      <c r="G71">
        <f>(Gam/Z/Rg)^0.5*F71*(1+F71^2*(Gam-1)/2)^(-(Gam+1)/2/(Gam-1))</f>
        <v>9.3377926824642077E-2</v>
      </c>
      <c r="H71">
        <f>J71/(1+(Gam-1)/2*F71^2)^(Gam/(Gam-1))</f>
        <v>103.28751713627069</v>
      </c>
      <c r="I71" s="21">
        <f>H71*6.89476</f>
        <v>712.14264165047371</v>
      </c>
      <c r="J71">
        <f>mdot*P71^0.5/A/G71/gc^0.5/144</f>
        <v>181.1033392730894</v>
      </c>
      <c r="K71" s="21">
        <f>J71*6.89476</f>
        <v>1248.664059486526</v>
      </c>
      <c r="L71">
        <f>P71/(1+(Gam-1)/2*F71^2)</f>
        <v>561.88459867547374</v>
      </c>
      <c r="M71">
        <f>L71/1.8</f>
        <v>312.15811037526316</v>
      </c>
      <c r="N71">
        <f>L71-'Example 7.1 - Pipe P1'!$C$8</f>
        <v>102.21459867547372</v>
      </c>
      <c r="O71">
        <f>M71-'Example 7.1 - Pipe P1'!$C$9</f>
        <v>39.008110375263186</v>
      </c>
      <c r="P71">
        <f>P70</f>
        <v>659.67000000000007</v>
      </c>
      <c r="Q71">
        <f>Q70</f>
        <v>366.48333333333335</v>
      </c>
      <c r="R71">
        <f>P71-'Example 7.1 - Pipe P1'!$C$8</f>
        <v>200.00000000000006</v>
      </c>
      <c r="S71">
        <f>Q71-'Example 7.1 - Pipe P1'!$C$9</f>
        <v>93.333333333333371</v>
      </c>
      <c r="T71">
        <f>H71/L71/Rg/Z*144</f>
        <v>0.49614013126092926</v>
      </c>
      <c r="U71">
        <f>T71*16.01846</f>
        <v>7.9474008469979456</v>
      </c>
      <c r="V71">
        <f>(Gam*H71/T71*gc*144)^0.5</f>
        <v>1162.0358666904672</v>
      </c>
      <c r="W71">
        <f>V71/3.28</f>
        <v>354.27922764953269</v>
      </c>
      <c r="X71">
        <f>F71*V71</f>
        <v>1083.9717956662216</v>
      </c>
      <c r="Y71">
        <f>X71/3.28</f>
        <v>330.4792059957993</v>
      </c>
      <c r="AA71">
        <f>D71/$D$131</f>
        <v>0.79915372272734042</v>
      </c>
      <c r="AB71">
        <f>F71</f>
        <v>0.93282128954713284</v>
      </c>
      <c r="AC71">
        <f>H71/$H$5</f>
        <v>0.27192472516657928</v>
      </c>
      <c r="AD71">
        <f>J71/$J$5</f>
        <v>0.45275834818272354</v>
      </c>
      <c r="AE71">
        <f>L71/$L$5</f>
        <v>0.86444582357169686</v>
      </c>
      <c r="AF71">
        <f>T71/$T$5</f>
        <v>0.31456537558715603</v>
      </c>
      <c r="AG71">
        <f>X71/$X$5</f>
        <v>3.1789894171710316</v>
      </c>
    </row>
    <row r="72" spans="1:33" x14ac:dyDescent="0.25">
      <c r="C72">
        <f>D/f</f>
        <v>14.705882352941176</v>
      </c>
      <c r="D72">
        <f>(1/Gam*(1/M_1^2-1/F72^2)+(Gam+1)/2/Gam*LN((M_1^2/F72^2)*(1+F72^2*(Gam-1)/2)/(1+M_1^2*(Gam-1)/2)))*D/f</f>
        <v>99.923253486779629</v>
      </c>
      <c r="E72">
        <f>D72/3.28</f>
        <v>30.46440655084745</v>
      </c>
      <c r="F72">
        <f>F71+0.01</f>
        <v>0.94282128954713285</v>
      </c>
      <c r="G72">
        <f>(Gam/Z/Rg)^0.5*F72*(1+F72^2*(Gam-1)/2)^(-(Gam+1)/2/(Gam-1))</f>
        <v>9.3480020525686117E-2</v>
      </c>
      <c r="H72">
        <f>J72/(1+(Gam-1)/2*F72^2)^(Gam/(Gam-1))</f>
        <v>102.02912916389063</v>
      </c>
      <c r="I72" s="21">
        <f>H72*6.89476</f>
        <v>703.46635859402659</v>
      </c>
      <c r="J72">
        <f>mdot*P72^0.5/A/G72/gc^0.5/144</f>
        <v>180.90554823631118</v>
      </c>
      <c r="K72" s="21">
        <f>J72*6.89476</f>
        <v>1247.3003377577888</v>
      </c>
      <c r="L72">
        <f>P72/(1+(Gam-1)/2*F72^2)</f>
        <v>560.09497322229629</v>
      </c>
      <c r="M72">
        <f>L72/1.8</f>
        <v>311.16387401238683</v>
      </c>
      <c r="N72">
        <f>L72-'Example 7.1 - Pipe P1'!$C$8</f>
        <v>100.42497322229627</v>
      </c>
      <c r="O72">
        <f>M72-'Example 7.1 - Pipe P1'!$C$9</f>
        <v>38.01387401238685</v>
      </c>
      <c r="P72">
        <f>P71</f>
        <v>659.67000000000007</v>
      </c>
      <c r="Q72">
        <f>Q71</f>
        <v>366.48333333333335</v>
      </c>
      <c r="R72">
        <f>P72-'Example 7.1 - Pipe P1'!$C$8</f>
        <v>200.00000000000006</v>
      </c>
      <c r="S72">
        <f>Q72-'Example 7.1 - Pipe P1'!$C$9</f>
        <v>93.333333333333371</v>
      </c>
      <c r="T72">
        <f>H72/L72/Rg/Z*144</f>
        <v>0.49166144422138619</v>
      </c>
      <c r="U72">
        <f>T72*16.01846</f>
        <v>7.8756591778025067</v>
      </c>
      <c r="V72">
        <f>(Gam*H72/T72*gc*144)^0.5</f>
        <v>1160.1838248995928</v>
      </c>
      <c r="W72">
        <f>V72/3.28</f>
        <v>353.71458076207097</v>
      </c>
      <c r="X72">
        <f>F72*V72</f>
        <v>1093.846009903559</v>
      </c>
      <c r="Y72">
        <f>X72/3.28</f>
        <v>333.48963716571922</v>
      </c>
      <c r="AA72">
        <f>D72/$D$131</f>
        <v>0.79936259976240531</v>
      </c>
      <c r="AB72">
        <f>F72</f>
        <v>0.94282128954713285</v>
      </c>
      <c r="AC72">
        <f>H72/$H$5</f>
        <v>0.26861177106496292</v>
      </c>
      <c r="AD72">
        <f>J72/$J$5</f>
        <v>0.45226387059077794</v>
      </c>
      <c r="AE72">
        <f>L72/$L$5</f>
        <v>0.86169252822883879</v>
      </c>
      <c r="AF72">
        <f>T72/$T$5</f>
        <v>0.31172577487364261</v>
      </c>
      <c r="AG72">
        <f>X72/$X$5</f>
        <v>3.2079477560216123</v>
      </c>
    </row>
    <row r="73" spans="1:33" x14ac:dyDescent="0.25">
      <c r="C73">
        <f>D/f</f>
        <v>14.705882352941176</v>
      </c>
      <c r="D73">
        <f>(1/Gam*(1/M_1^2-1/F73^2)+(Gam+1)/2/Gam*LN((M_1^2/F73^2)*(1+F73^2*(Gam-1)/2)/(1+M_1^2*(Gam-1)/2)))*D/f</f>
        <v>99.944521247671986</v>
      </c>
      <c r="E73">
        <f>D73/3.28</f>
        <v>30.470890624290242</v>
      </c>
      <c r="F73">
        <f>F72+0.01</f>
        <v>0.95282128954713285</v>
      </c>
      <c r="G73">
        <f>(Gam/Z/Rg)^0.5*F73*(1+F73^2*(Gam-1)/2)^(-(Gam+1)/2/(Gam-1))</f>
        <v>9.3565042831105533E-2</v>
      </c>
      <c r="H73">
        <f>J73/(1+(Gam-1)/2*F73^2)^(Gam/(Gam-1))</f>
        <v>100.79621708126767</v>
      </c>
      <c r="I73" s="21">
        <f>H73*6.89476</f>
        <v>694.96572568324109</v>
      </c>
      <c r="J73">
        <f>mdot*P73^0.5/A/G73/gc^0.5/144</f>
        <v>180.74115984606613</v>
      </c>
      <c r="K73" s="21">
        <f>J73*6.89476</f>
        <v>1246.1669192602628</v>
      </c>
      <c r="L73">
        <f>P73/(1+(Gam-1)/2*F73^2)</f>
        <v>558.29781085183276</v>
      </c>
      <c r="M73">
        <f>L73/1.8</f>
        <v>310.16545047324041</v>
      </c>
      <c r="N73">
        <f>L73-'Example 7.1 - Pipe P1'!$C$8</f>
        <v>98.627810851832749</v>
      </c>
      <c r="O73">
        <f>M73-'Example 7.1 - Pipe P1'!$C$9</f>
        <v>37.015450473240435</v>
      </c>
      <c r="P73">
        <f>P72</f>
        <v>659.67000000000007</v>
      </c>
      <c r="Q73">
        <f>Q72</f>
        <v>366.48333333333335</v>
      </c>
      <c r="R73">
        <f>P73-'Example 7.1 - Pipe P1'!$C$8</f>
        <v>200.00000000000006</v>
      </c>
      <c r="S73">
        <f>Q73-'Example 7.1 - Pipe P1'!$C$9</f>
        <v>93.333333333333371</v>
      </c>
      <c r="T73">
        <f>H73/L73/Rg/Z*144</f>
        <v>0.48728378043083914</v>
      </c>
      <c r="U73">
        <f>T73*16.01846</f>
        <v>7.8055357454801797</v>
      </c>
      <c r="V73">
        <f>(Gam*H73/T73*gc*144)^0.5</f>
        <v>1158.3210033657622</v>
      </c>
      <c r="W73">
        <f>V73/3.28</f>
        <v>353.14664736761046</v>
      </c>
      <c r="X73">
        <f>F73*V73</f>
        <v>1103.6729121364942</v>
      </c>
      <c r="Y73">
        <f>X73/3.28</f>
        <v>336.48564394405315</v>
      </c>
      <c r="AA73">
        <f>D73/$D$131</f>
        <v>0.79953273686307824</v>
      </c>
      <c r="AB73">
        <f>F73</f>
        <v>0.95282128954713285</v>
      </c>
      <c r="AC73">
        <f>H73/$H$5</f>
        <v>0.2653658872590865</v>
      </c>
      <c r="AD73">
        <f>J73/$J$5</f>
        <v>0.45185289961516534</v>
      </c>
      <c r="AE73">
        <f>L73/$L$5</f>
        <v>0.85892763752158396</v>
      </c>
      <c r="AF73">
        <f>T73/$T$5</f>
        <v>0.308950225451813</v>
      </c>
      <c r="AG73">
        <f>X73/$X$5</f>
        <v>3.2367673418512188</v>
      </c>
    </row>
    <row r="74" spans="1:33" x14ac:dyDescent="0.25">
      <c r="C74">
        <f>D/f</f>
        <v>14.705882352941176</v>
      </c>
      <c r="D74">
        <f>(1/Gam*(1/M_1^2-1/F74^2)+(Gam+1)/2/Gam*LN((M_1^2/F74^2)*(1+F74^2*(Gam-1)/2)/(1+M_1^2*(Gam-1)/2)))*D/f</f>
        <v>99.961213570254444</v>
      </c>
      <c r="E74">
        <f>D74/3.28</f>
        <v>30.475979747028795</v>
      </c>
      <c r="F74">
        <f>F73+0.01</f>
        <v>0.96282128954713286</v>
      </c>
      <c r="G74">
        <f>(Gam/Z/Rg)^0.5*F74*(1+F74^2*(Gam-1)/2)^(-(Gam+1)/2/(Gam-1))</f>
        <v>9.363324012314371E-2</v>
      </c>
      <c r="H74">
        <f>J74/(1+(Gam-1)/2*F74^2)^(Gam/(Gam-1))</f>
        <v>99.588005363078324</v>
      </c>
      <c r="I74" s="21">
        <f>H74*6.89476</f>
        <v>686.63539585713784</v>
      </c>
      <c r="J74">
        <f>mdot*P74^0.5/A/G74/gc^0.5/144</f>
        <v>180.60951794576309</v>
      </c>
      <c r="K74" s="21">
        <f>J74*6.89476</f>
        <v>1245.2592799517295</v>
      </c>
      <c r="L74">
        <f>P74/(1+(Gam-1)/2*F74^2)</f>
        <v>556.49336580908869</v>
      </c>
      <c r="M74">
        <f>L74/1.8</f>
        <v>309.16298100504929</v>
      </c>
      <c r="N74">
        <f>L74-'Example 7.1 - Pipe P1'!$C$8</f>
        <v>96.823365809088671</v>
      </c>
      <c r="O74">
        <f>M74-'Example 7.1 - Pipe P1'!$C$9</f>
        <v>36.012981005049312</v>
      </c>
      <c r="P74">
        <f>P73</f>
        <v>659.67000000000007</v>
      </c>
      <c r="Q74">
        <f>Q73</f>
        <v>366.48333333333335</v>
      </c>
      <c r="R74">
        <f>P74-'Example 7.1 - Pipe P1'!$C$8</f>
        <v>200.00000000000006</v>
      </c>
      <c r="S74">
        <f>Q74-'Example 7.1 - Pipe P1'!$C$9</f>
        <v>93.333333333333371</v>
      </c>
      <c r="T74">
        <f>H74/L74/Rg/Z*144</f>
        <v>0.48300395878145808</v>
      </c>
      <c r="U74">
        <f>T74*16.01846</f>
        <v>7.7369795935824355</v>
      </c>
      <c r="V74">
        <f>(Gam*H74/T74*gc*144)^0.5</f>
        <v>1156.4476141695136</v>
      </c>
      <c r="W74">
        <f>V74/3.28</f>
        <v>352.57549212485173</v>
      </c>
      <c r="X74">
        <f>F74*V74</f>
        <v>1113.4523831683962</v>
      </c>
      <c r="Y74">
        <f>X74/3.28</f>
        <v>339.46718999036472</v>
      </c>
      <c r="AA74">
        <f>D74/$D$131</f>
        <v>0.79966627153003489</v>
      </c>
      <c r="AB74">
        <f>F74</f>
        <v>0.96282128954713286</v>
      </c>
      <c r="AC74">
        <f>H74/$H$5</f>
        <v>0.26218503202584259</v>
      </c>
      <c r="AD74">
        <f>J74/$J$5</f>
        <v>0.45152379486440775</v>
      </c>
      <c r="AE74">
        <f>L74/$L$5</f>
        <v>0.85615154259970538</v>
      </c>
      <c r="AF74">
        <f>T74/$T$5</f>
        <v>0.30623671041894912</v>
      </c>
      <c r="AG74">
        <f>X74/$X$5</f>
        <v>3.2654478250891055</v>
      </c>
    </row>
    <row r="75" spans="1:33" x14ac:dyDescent="0.25">
      <c r="C75">
        <f>D/f</f>
        <v>14.705882352941176</v>
      </c>
      <c r="D75">
        <f>(1/Gam*(1/M_1^2-1/F75^2)+(Gam+1)/2/Gam*LN((M_1^2/F75^2)*(1+F75^2*(Gam-1)/2)/(1+M_1^2*(Gam-1)/2)))*D/f</f>
        <v>99.973582629378797</v>
      </c>
      <c r="E75">
        <f>D75/3.28</f>
        <v>30.479750801639877</v>
      </c>
      <c r="F75">
        <f>F74+0.01</f>
        <v>0.97282128954713287</v>
      </c>
      <c r="G75">
        <f>(Gam/Z/Rg)^0.5*F75*(1+F75^2*(Gam-1)/2)^(-(Gam+1)/2/(Gam-1))</f>
        <v>9.368486195857062E-2</v>
      </c>
      <c r="H75">
        <f>J75/(1+(Gam-1)/2*F75^2)^(Gam/(Gam-1))</f>
        <v>98.403750305199978</v>
      </c>
      <c r="I75" s="21">
        <f>H75*6.89476</f>
        <v>678.47024145428054</v>
      </c>
      <c r="J75">
        <f>mdot*P75^0.5/A/G75/gc^0.5/144</f>
        <v>180.50999925494139</v>
      </c>
      <c r="K75" s="21">
        <f>J75*6.89476</f>
        <v>1244.5731224629997</v>
      </c>
      <c r="L75">
        <f>P75/(1+(Gam-1)/2*F75^2)</f>
        <v>554.68189054961192</v>
      </c>
      <c r="M75">
        <f>L75/1.8</f>
        <v>308.15660586089552</v>
      </c>
      <c r="N75">
        <f>L75-'Example 7.1 - Pipe P1'!$C$8</f>
        <v>95.011890549611905</v>
      </c>
      <c r="O75">
        <f>M75-'Example 7.1 - Pipe P1'!$C$9</f>
        <v>35.006605860895547</v>
      </c>
      <c r="P75">
        <f>P74</f>
        <v>659.67000000000007</v>
      </c>
      <c r="Q75">
        <f>Q74</f>
        <v>366.48333333333335</v>
      </c>
      <c r="R75">
        <f>P75-'Example 7.1 - Pipe P1'!$C$8</f>
        <v>200.00000000000006</v>
      </c>
      <c r="S75">
        <f>Q75-'Example 7.1 - Pipe P1'!$C$9</f>
        <v>93.333333333333371</v>
      </c>
      <c r="T75">
        <f>H75/L75/Rg/Z*144</f>
        <v>0.47881892888424848</v>
      </c>
      <c r="U75">
        <f>T75*16.01846</f>
        <v>7.6699418595751796</v>
      </c>
      <c r="V75">
        <f>(Gam*H75/T75*gc*144)^0.5</f>
        <v>1154.5638686114028</v>
      </c>
      <c r="W75">
        <f>V75/3.28</f>
        <v>352.001179454696</v>
      </c>
      <c r="X75">
        <f>F75*V75</f>
        <v>1123.1843115270713</v>
      </c>
      <c r="Y75">
        <f>X75/3.28</f>
        <v>342.43424131922905</v>
      </c>
      <c r="AA75">
        <f>D75/$D$131</f>
        <v>0.79976522110296455</v>
      </c>
      <c r="AB75">
        <f>F75</f>
        <v>0.97282128954713287</v>
      </c>
      <c r="AC75">
        <f>H75/$H$5</f>
        <v>0.25906724741770026</v>
      </c>
      <c r="AD75">
        <f>J75/$J$5</f>
        <v>0.4512749981373535</v>
      </c>
      <c r="AE75">
        <f>L75/$L$5</f>
        <v>0.85336463185993872</v>
      </c>
      <c r="AF75">
        <f>T75/$T$5</f>
        <v>0.30358329575137638</v>
      </c>
      <c r="AG75">
        <f>X75/$X$5</f>
        <v>3.293988878818165</v>
      </c>
    </row>
    <row r="76" spans="1:33" x14ac:dyDescent="0.25">
      <c r="C76">
        <f>D/f</f>
        <v>14.705882352941176</v>
      </c>
      <c r="D76">
        <f>(1/Gam*(1/M_1^2-1/F76^2)+(Gam+1)/2/Gam*LN((M_1^2/F76^2)*(1+F76^2*(Gam-1)/2)/(1+M_1^2*(Gam-1)/2)))*D/f</f>
        <v>99.981866528766631</v>
      </c>
      <c r="E76">
        <f>D76/3.28</f>
        <v>30.482276380721537</v>
      </c>
      <c r="F76">
        <f>F75+0.01</f>
        <v>0.98282128954713288</v>
      </c>
      <c r="G76">
        <f>(Gam/Z/Rg)^0.5*F76*(1+F76^2*(Gam-1)/2)^(-(Gam+1)/2/(Gam-1))</f>
        <v>9.3720160830787672E-2</v>
      </c>
      <c r="H76">
        <f>J76/(1+(Gam-1)/2*F76^2)^(Gam/(Gam-1))</f>
        <v>97.242738402007703</v>
      </c>
      <c r="I76" s="21">
        <f>H76*6.89476</f>
        <v>670.46534302462658</v>
      </c>
      <c r="J76">
        <f>mdot*P76^0.5/A/G76/gc^0.5/144</f>
        <v>180.4420117553349</v>
      </c>
      <c r="K76" s="21">
        <f>J76*6.89476</f>
        <v>1244.1043649702128</v>
      </c>
      <c r="L76">
        <f>P76/(1+(Gam-1)/2*F76^2)</f>
        <v>552.86363568358968</v>
      </c>
      <c r="M76">
        <f>L76/1.8</f>
        <v>307.14646426866091</v>
      </c>
      <c r="N76">
        <f>L76-'Example 7.1 - Pipe P1'!$C$8</f>
        <v>93.193635683589662</v>
      </c>
      <c r="O76">
        <f>M76-'Example 7.1 - Pipe P1'!$C$9</f>
        <v>33.99646426866093</v>
      </c>
      <c r="P76">
        <f>P75</f>
        <v>659.67000000000007</v>
      </c>
      <c r="Q76">
        <f>Q75</f>
        <v>366.48333333333335</v>
      </c>
      <c r="R76">
        <f>P76-'Example 7.1 - Pipe P1'!$C$8</f>
        <v>200.00000000000006</v>
      </c>
      <c r="S76">
        <f>Q76-'Example 7.1 - Pipe P1'!$C$9</f>
        <v>93.333333333333371</v>
      </c>
      <c r="T76">
        <f>H76/L76/Rg/Z*144</f>
        <v>0.47472576442417214</v>
      </c>
      <c r="U76">
        <f>T76*16.01846</f>
        <v>7.604375668398025</v>
      </c>
      <c r="V76">
        <f>(Gam*H76/T76*gc*144)^0.5</f>
        <v>1152.6699771665683</v>
      </c>
      <c r="W76">
        <f>V76/3.28</f>
        <v>351.42377352639278</v>
      </c>
      <c r="X76">
        <f>F76*V76</f>
        <v>1132.8685933811109</v>
      </c>
      <c r="Y76">
        <f>X76/3.28</f>
        <v>345.38676627472898</v>
      </c>
      <c r="AA76">
        <f>D76/$D$131</f>
        <v>0.7998314903558138</v>
      </c>
      <c r="AB76">
        <f>F76</f>
        <v>0.98282128954713288</v>
      </c>
      <c r="AC76">
        <f>H76/$H$5</f>
        <v>0.25601065499061959</v>
      </c>
      <c r="AD76">
        <f>J76/$J$5</f>
        <v>0.45110502938833724</v>
      </c>
      <c r="AE76">
        <f>L76/$L$5</f>
        <v>0.85056729085997718</v>
      </c>
      <c r="AF76">
        <f>T76/$T$5</f>
        <v>0.3009881260914426</v>
      </c>
      <c r="AG76">
        <f>X76/$X$5</f>
        <v>3.3223901985295989</v>
      </c>
    </row>
    <row r="77" spans="1:33" x14ac:dyDescent="0.25">
      <c r="C77">
        <f>D/f</f>
        <v>14.705882352941176</v>
      </c>
      <c r="D77">
        <f>(1/Gam*(1/M_1^2-1/F77^2)+(Gam+1)/2/Gam*LN((M_1^2/F77^2)*(1+F77^2*(Gam-1)/2)/(1+M_1^2*(Gam-1)/2)))*D/f</f>
        <v>99.986290182408752</v>
      </c>
      <c r="E77">
        <f>D77/3.28</f>
        <v>30.483625055612425</v>
      </c>
      <c r="F77">
        <f>F76+0.01</f>
        <v>0.99282128954713289</v>
      </c>
      <c r="G77">
        <f>(Gam/Z/Rg)^0.5*F77*(1+F77^2*(Gam-1)/2)^(-(Gam+1)/2/(Gam-1))</f>
        <v>9.3739391935394448E-2</v>
      </c>
      <c r="H77">
        <f>J77/(1+(Gam-1)/2*F77^2)^(Gam/(Gam-1))</f>
        <v>96.104284821833147</v>
      </c>
      <c r="I77" s="21">
        <f>H77*6.89476</f>
        <v>662.61597881818227</v>
      </c>
      <c r="J77">
        <f>mdot*P77^0.5/A/G77/gc^0.5/144</f>
        <v>180.40499317507877</v>
      </c>
      <c r="K77" s="21">
        <f>J77*6.89476</f>
        <v>1243.849130743806</v>
      </c>
      <c r="L77">
        <f>P77/(1+(Gam-1)/2*F77^2)</f>
        <v>551.0388499219498</v>
      </c>
      <c r="M77">
        <f>L77/1.8</f>
        <v>306.1326944010832</v>
      </c>
      <c r="N77">
        <f>L77-'Example 7.1 - Pipe P1'!$C$8</f>
        <v>91.368849921949788</v>
      </c>
      <c r="O77">
        <f>M77-'Example 7.1 - Pipe P1'!$C$9</f>
        <v>32.982694401083222</v>
      </c>
      <c r="P77">
        <f>P76</f>
        <v>659.67000000000007</v>
      </c>
      <c r="Q77">
        <f>Q76</f>
        <v>366.48333333333335</v>
      </c>
      <c r="R77">
        <f>P77-'Example 7.1 - Pipe P1'!$C$8</f>
        <v>200.00000000000006</v>
      </c>
      <c r="S77">
        <f>Q77-'Example 7.1 - Pipe P1'!$C$9</f>
        <v>93.333333333333371</v>
      </c>
      <c r="T77">
        <f>H77/L77/Rg/Z*144</f>
        <v>0.47072165691678453</v>
      </c>
      <c r="U77">
        <f>T77*16.01846</f>
        <v>7.5402360324552369</v>
      </c>
      <c r="V77">
        <f>(Gam*H77/T77*gc*144)^0.5</f>
        <v>1150.7661494404463</v>
      </c>
      <c r="W77">
        <f>V77/3.28</f>
        <v>350.84333824403853</v>
      </c>
      <c r="X77">
        <f>F77*V77</f>
        <v>1142.5051324546525</v>
      </c>
      <c r="Y77">
        <f>X77/3.28</f>
        <v>348.32473550446724</v>
      </c>
      <c r="AA77">
        <f>D77/$D$131</f>
        <v>0.79986687854777527</v>
      </c>
      <c r="AB77">
        <f>F77</f>
        <v>0.99282128954713289</v>
      </c>
      <c r="AC77">
        <f>H77/$H$5</f>
        <v>0.25301345179039703</v>
      </c>
      <c r="AD77">
        <f>J77/$J$5</f>
        <v>0.45101248293769691</v>
      </c>
      <c r="AE77">
        <f>L77/$L$5</f>
        <v>0.84775990223554942</v>
      </c>
      <c r="AF77">
        <f>T77/$T$5</f>
        <v>0.29844942078906844</v>
      </c>
      <c r="AG77">
        <f>X77/$X$5</f>
        <v>3.3506515018729353</v>
      </c>
    </row>
    <row r="78" spans="1:33" x14ac:dyDescent="0.25">
      <c r="C78">
        <f>D/f</f>
        <v>14.705882352941176</v>
      </c>
      <c r="D78">
        <f>(1/Gam*(1/M_1^2-1/F78^2)+(Gam+1)/2/Gam*LN((M_1^2/F78^2)*(1+F78^2*(Gam-1)/2)/(1+M_1^2*(Gam-1)/2)))*D/f</f>
        <v>99.98720474375628</v>
      </c>
      <c r="E78">
        <f>D78/3.28</f>
        <v>30.48390388529155</v>
      </c>
      <c r="F78">
        <v>1</v>
      </c>
      <c r="G78">
        <f>(Gam/Z/Rg)^0.5*F78*(1+F78^2*(Gam-1)/2)^(-(Gam+1)/2/(Gam-1))</f>
        <v>9.3743433770267531E-2</v>
      </c>
      <c r="H78">
        <f>J78/(1+(Gam-1)/2*F78^2)^(Gam/(Gam-1))</f>
        <v>95.300563158518216</v>
      </c>
      <c r="I78" s="21">
        <f>H78*6.89476</f>
        <v>657.07451084282502</v>
      </c>
      <c r="J78">
        <f>mdot*P78^0.5/A/G78/gc^0.5/144</f>
        <v>180.39721484689761</v>
      </c>
      <c r="K78" s="21">
        <f>J78*6.89476</f>
        <v>1243.7955010377957</v>
      </c>
      <c r="L78">
        <f>P78/(1+(Gam-1)/2*F78^2)</f>
        <v>549.72500000000014</v>
      </c>
      <c r="M78">
        <f>L78/1.8</f>
        <v>305.40277777777783</v>
      </c>
      <c r="N78">
        <f>L78-'Example 7.1 - Pipe P1'!$C$8</f>
        <v>90.055000000000121</v>
      </c>
      <c r="O78">
        <f>M78-'Example 7.1 - Pipe P1'!$C$9</f>
        <v>32.252777777777851</v>
      </c>
      <c r="P78">
        <f>P77</f>
        <v>659.67000000000007</v>
      </c>
      <c r="Q78">
        <f>Q77</f>
        <v>366.48333333333335</v>
      </c>
      <c r="R78">
        <f>P78-'Example 7.1 - Pipe P1'!$C$8</f>
        <v>200.00000000000006</v>
      </c>
      <c r="S78">
        <f>Q78-'Example 7.1 - Pipe P1'!$C$9</f>
        <v>93.333333333333371</v>
      </c>
      <c r="T78">
        <f>H78/L78/Rg/Z*144</f>
        <v>0.46790062645912639</v>
      </c>
      <c r="U78">
        <f>T78*16.01846</f>
        <v>7.4950474689104585</v>
      </c>
      <c r="V78">
        <f>(Gam*H78/T78*gc*144)^0.5</f>
        <v>1149.3934364970639</v>
      </c>
      <c r="W78">
        <f>V78/3.28</f>
        <v>350.42482820032438</v>
      </c>
      <c r="X78">
        <f>F78*V78</f>
        <v>1149.3934364970639</v>
      </c>
      <c r="Y78">
        <f>X78/3.28</f>
        <v>350.42482820032438</v>
      </c>
      <c r="AA78">
        <f>D78/$D$131</f>
        <v>0.79987419482412636</v>
      </c>
      <c r="AB78">
        <f>F78</f>
        <v>1</v>
      </c>
      <c r="AC78">
        <f>H78/$H$5</f>
        <v>0.25089749626675911</v>
      </c>
      <c r="AD78">
        <f>J78/$J$5</f>
        <v>0.45099303711724403</v>
      </c>
      <c r="AE78">
        <f>L78/$L$5</f>
        <v>0.84573857600502689</v>
      </c>
      <c r="AF78">
        <f>T78/$T$5</f>
        <v>0.29666081622043433</v>
      </c>
      <c r="AG78">
        <f>X78/$X$5</f>
        <v>3.3708529921152377</v>
      </c>
    </row>
    <row r="79" spans="1:33" x14ac:dyDescent="0.25">
      <c r="A79" s="30" t="s">
        <v>114</v>
      </c>
      <c r="B79">
        <v>8.7266462599716474E-2</v>
      </c>
      <c r="C79">
        <v>20.833333333333332</v>
      </c>
      <c r="D79">
        <f>L</f>
        <v>100</v>
      </c>
      <c r="E79">
        <f>D79/3.28</f>
        <v>30.487804878048781</v>
      </c>
      <c r="F79" s="30">
        <v>0.48484131654975843</v>
      </c>
      <c r="G79" s="30">
        <v>6.8426838772958645E-2</v>
      </c>
      <c r="H79" s="30">
        <v>118.36756260964654</v>
      </c>
      <c r="I79" s="31">
        <v>816.1159359784865</v>
      </c>
      <c r="J79" s="30">
        <v>139.0166234389296</v>
      </c>
      <c r="K79" s="31">
        <v>958.48625462179416</v>
      </c>
      <c r="L79" s="30">
        <v>630.04874921233807</v>
      </c>
      <c r="M79" s="30">
        <v>350.02708289574338</v>
      </c>
      <c r="N79" s="30">
        <v>170.37874921233805</v>
      </c>
      <c r="O79" s="30">
        <v>76.877082895743399</v>
      </c>
      <c r="P79" s="30">
        <v>659.67000000000007</v>
      </c>
      <c r="Q79" s="30">
        <v>366.48333333333335</v>
      </c>
      <c r="R79" s="30">
        <v>200.00000000000006</v>
      </c>
      <c r="S79" s="30">
        <v>93.333333333333371</v>
      </c>
      <c r="T79" s="30">
        <v>0.50706332356341721</v>
      </c>
      <c r="U79" s="30">
        <v>8.1223735659676564</v>
      </c>
      <c r="V79" s="30">
        <v>1230.5040450387123</v>
      </c>
      <c r="W79" s="30">
        <v>375.15367226790011</v>
      </c>
      <c r="X79" s="30">
        <v>596.59920121637253</v>
      </c>
      <c r="Y79" s="30">
        <v>181.89000037084529</v>
      </c>
      <c r="AA79">
        <f>D79/$D$131</f>
        <v>0.79997655387408417</v>
      </c>
      <c r="AB79">
        <f>F79</f>
        <v>0.48484131654975843</v>
      </c>
      <c r="AC79">
        <f>H79/$H$5</f>
        <v>0.31162591398920469</v>
      </c>
      <c r="AD79">
        <f>J79/$J$5</f>
        <v>0.347541558597324</v>
      </c>
      <c r="AE79">
        <f>L79/$L$5</f>
        <v>0.96931471548972847</v>
      </c>
      <c r="AF79">
        <f>T79/$T$5</f>
        <v>0.32149095542386508</v>
      </c>
      <c r="AG79">
        <f>X79/$X$5</f>
        <v>1.7496604197103462</v>
      </c>
    </row>
    <row r="80" spans="1:33" x14ac:dyDescent="0.25">
      <c r="A80" s="30" t="s">
        <v>114</v>
      </c>
      <c r="B80">
        <v>8.7266462599716474E-2</v>
      </c>
      <c r="C80">
        <v>20.833333333333332</v>
      </c>
      <c r="D80">
        <f>(1/Gam*(1/M_3^2-1/F80^2)+(Gam+1)/2/Gam*LN((M_3^2/F80^2)*(1+F80^2*(Gam-1)/2)/(1+M_3^2*(Gam-1)/2)))*C80+L</f>
        <v>101.83696912509207</v>
      </c>
      <c r="E80">
        <f>D80/3.28</f>
        <v>31.047856440576851</v>
      </c>
      <c r="F80">
        <f>F79+0.01</f>
        <v>0.49484131654975844</v>
      </c>
      <c r="G80">
        <f>(Gam/Z/Rg)^0.5*F80*(1+F80^2*(Gam-1)/2)^(-(Gam+1)/2/(Gam-1))</f>
        <v>6.9447544111206364E-2</v>
      </c>
      <c r="H80">
        <f>J80/(1+(Gam-1)/2*F80^2)^(Gam/(Gam-1))</f>
        <v>115.86716661445374</v>
      </c>
      <c r="I80" s="21">
        <f>H80*6.89476</f>
        <v>798.876305686671</v>
      </c>
      <c r="J80">
        <f>mdot*P80^0.5/B80/G80/gc^0.5/144</f>
        <v>136.9734264984867</v>
      </c>
      <c r="K80" s="21">
        <f>J80*6.89476</f>
        <v>944.39890208470615</v>
      </c>
      <c r="L80">
        <f>P80/(1+(Gam-1)/2*F80^2)</f>
        <v>628.87188865833298</v>
      </c>
      <c r="M80">
        <f>L80/1.8</f>
        <v>349.37327147685164</v>
      </c>
      <c r="N80">
        <f>L80-'Example 7.1 - Pipe P1'!$C$8</f>
        <v>169.20188865833296</v>
      </c>
      <c r="O80">
        <f>M80-'Example 7.1 - Pipe P1'!$C$9</f>
        <v>76.223271476851664</v>
      </c>
      <c r="P80">
        <f>P79</f>
        <v>659.67000000000007</v>
      </c>
      <c r="Q80">
        <f>Q79</f>
        <v>366.48333333333335</v>
      </c>
      <c r="R80">
        <f>P80-'Example 7.1 - Pipe P1'!$C$8</f>
        <v>200.00000000000006</v>
      </c>
      <c r="S80">
        <f>Q80-'Example 7.1 - Pipe P1'!$C$9</f>
        <v>93.333333333333371</v>
      </c>
      <c r="T80">
        <f>H80/L80/Rg/Z*144</f>
        <v>0.49728098484710603</v>
      </c>
      <c r="U80">
        <f>T80*16.01846</f>
        <v>7.9656755645339743</v>
      </c>
      <c r="V80">
        <f>(Gam*H80/T80*gc*144)^0.5</f>
        <v>1229.3542859579729</v>
      </c>
      <c r="W80">
        <f>V80/3.28</f>
        <v>374.80313596279666</v>
      </c>
      <c r="X80">
        <f>F80*V80</f>
        <v>608.33529336953154</v>
      </c>
      <c r="Y80">
        <f>X80/3.28</f>
        <v>185.46807724680841</v>
      </c>
      <c r="AA80">
        <f>D80/$D$131</f>
        <v>0.81467187617672665</v>
      </c>
      <c r="AB80">
        <f>F80</f>
        <v>0.49484131654975844</v>
      </c>
      <c r="AC80">
        <f>H80/$H$5</f>
        <v>0.30504312922826038</v>
      </c>
      <c r="AD80">
        <f>J80/$J$5</f>
        <v>0.34243356624621674</v>
      </c>
      <c r="AE80">
        <f>L80/$L$5</f>
        <v>0.96750414407838503</v>
      </c>
      <c r="AF80">
        <f>T80/$T$5</f>
        <v>0.31528870557845018</v>
      </c>
      <c r="AG80">
        <f>X80/$X$5</f>
        <v>1.7840791314360569</v>
      </c>
    </row>
    <row r="81" spans="1:33" x14ac:dyDescent="0.25">
      <c r="A81" s="30" t="s">
        <v>114</v>
      </c>
      <c r="B81">
        <v>8.7266462599716474E-2</v>
      </c>
      <c r="C81">
        <v>20.833333333333332</v>
      </c>
      <c r="D81">
        <f>(1/Gam*(1/M_3^2-1/F81^2)+(Gam+1)/2/Gam*LN((M_3^2/F81^2)*(1+F81^2*(Gam-1)/2)/(1+M_3^2*(Gam-1)/2)))*C81+L</f>
        <v>103.54013424662907</v>
      </c>
      <c r="E81">
        <f>D81/3.28</f>
        <v>31.567114099582035</v>
      </c>
      <c r="F81">
        <f>F80+0.01</f>
        <v>0.50484131654975839</v>
      </c>
      <c r="G81">
        <f>(Gam/Z/Rg)^0.5*F81*(1+F81^2*(Gam-1)/2)^(-(Gam+1)/2/(Gam-1))</f>
        <v>7.0447383930408503E-2</v>
      </c>
      <c r="H81">
        <f>J81/(1+(Gam-1)/2*F81^2)^(Gam/(Gam-1))</f>
        <v>113.46396524095255</v>
      </c>
      <c r="I81" s="21">
        <f>H81*6.89476</f>
        <v>782.30680898470996</v>
      </c>
      <c r="J81">
        <f>mdot*P81^0.5/B81/G81/gc^0.5/144</f>
        <v>135.02940135028487</v>
      </c>
      <c r="K81" s="21">
        <f>J81*6.89476</f>
        <v>930.99531525389011</v>
      </c>
      <c r="L81">
        <f>P81/(1+(Gam-1)/2*F81^2)</f>
        <v>627.67552617355068</v>
      </c>
      <c r="M81">
        <f>L81/1.8</f>
        <v>348.70862565197257</v>
      </c>
      <c r="N81">
        <f>L81-'Example 7.1 - Pipe P1'!$C$8</f>
        <v>168.00552617355066</v>
      </c>
      <c r="O81">
        <f>M81-'Example 7.1 - Pipe P1'!$C$9</f>
        <v>75.558625651972591</v>
      </c>
      <c r="P81">
        <f>P80</f>
        <v>659.67000000000007</v>
      </c>
      <c r="Q81">
        <f>Q80</f>
        <v>366.48333333333335</v>
      </c>
      <c r="R81">
        <f>P81-'Example 7.1 - Pipe P1'!$C$8</f>
        <v>200.00000000000006</v>
      </c>
      <c r="S81">
        <f>Q81-'Example 7.1 - Pipe P1'!$C$9</f>
        <v>93.333333333333371</v>
      </c>
      <c r="T81">
        <f>H81/L81/Rg/Z*144</f>
        <v>0.48789504682222856</v>
      </c>
      <c r="U81">
        <f>T81*16.01846</f>
        <v>7.8153272917199956</v>
      </c>
      <c r="V81">
        <f>(Gam*H81/T81*gc*144)^0.5</f>
        <v>1228.1843708057661</v>
      </c>
      <c r="W81">
        <f>V81/3.28</f>
        <v>374.44645451395309</v>
      </c>
      <c r="X81">
        <f>F81*V81</f>
        <v>620.03821472341963</v>
      </c>
      <c r="Y81">
        <f>X81/3.28</f>
        <v>189.0360410742133</v>
      </c>
      <c r="AA81">
        <f>D81/$D$131</f>
        <v>0.82829679782278365</v>
      </c>
      <c r="AB81">
        <f>F81</f>
        <v>0.50484131654975839</v>
      </c>
      <c r="AC81">
        <f>H81/$H$5</f>
        <v>0.29871622844559287</v>
      </c>
      <c r="AD81">
        <f>J81/$J$5</f>
        <v>0.33757350337571218</v>
      </c>
      <c r="AE81">
        <f>L81/$L$5</f>
        <v>0.96566356941966358</v>
      </c>
      <c r="AF81">
        <f>T81/$T$5</f>
        <v>0.30933778378438032</v>
      </c>
      <c r="AG81">
        <f>X81/$X$5</f>
        <v>1.8184005623835562</v>
      </c>
    </row>
    <row r="82" spans="1:33" x14ac:dyDescent="0.25">
      <c r="A82" s="30" t="s">
        <v>114</v>
      </c>
      <c r="B82">
        <v>8.7266462599716474E-2</v>
      </c>
      <c r="C82">
        <v>20.833333333333332</v>
      </c>
      <c r="D82">
        <f>(1/Gam*(1/M_3^2-1/F82^2)+(Gam+1)/2/Gam*LN((M_3^2/F82^2)*(1+F82^2*(Gam-1)/2)/(1+M_3^2*(Gam-1)/2)))*C82+L</f>
        <v>105.12038333432227</v>
      </c>
      <c r="E82">
        <f>D82/3.28</f>
        <v>32.048897358025087</v>
      </c>
      <c r="F82">
        <f>F81+0.01</f>
        <v>0.5148413165497584</v>
      </c>
      <c r="G82">
        <f>(Gam/Z/Rg)^0.5*F82*(1+F82^2*(Gam-1)/2)^(-(Gam+1)/2/(Gam-1))</f>
        <v>7.1426214778732039E-2</v>
      </c>
      <c r="H82">
        <f>J82/(1+(Gam-1)/2*F82^2)^(Gam/(Gam-1))</f>
        <v>111.15231164841836</v>
      </c>
      <c r="I82" s="21">
        <f>H82*6.89476</f>
        <v>766.36851226104898</v>
      </c>
      <c r="J82">
        <f>mdot*P82^0.5/B82/G82/gc^0.5/144</f>
        <v>133.17894708945408</v>
      </c>
      <c r="K82" s="21">
        <f>J82*6.89476</f>
        <v>918.23687723448438</v>
      </c>
      <c r="L82">
        <f>P82/(1+(Gam-1)/2*F82^2)</f>
        <v>626.45990917954828</v>
      </c>
      <c r="M82">
        <f>L82/1.8</f>
        <v>348.0332828775268</v>
      </c>
      <c r="N82">
        <f>L82-'Example 7.1 - Pipe P1'!$C$8</f>
        <v>166.78990917954826</v>
      </c>
      <c r="O82">
        <f>M82-'Example 7.1 - Pipe P1'!$C$9</f>
        <v>74.883282877526824</v>
      </c>
      <c r="P82">
        <f>P81</f>
        <v>659.67000000000007</v>
      </c>
      <c r="Q82">
        <f>Q81</f>
        <v>366.48333333333335</v>
      </c>
      <c r="R82">
        <f>P82-'Example 7.1 - Pipe P1'!$C$8</f>
        <v>200.00000000000006</v>
      </c>
      <c r="S82">
        <f>Q82-'Example 7.1 - Pipe P1'!$C$9</f>
        <v>93.333333333333371</v>
      </c>
      <c r="T82">
        <f>H82/L82/Rg/Z*144</f>
        <v>0.47888238629092328</v>
      </c>
      <c r="U82">
        <f>T82*16.01846</f>
        <v>7.6709583495057032</v>
      </c>
      <c r="V82">
        <f>(Gam*H82/T82*gc*144)^0.5</f>
        <v>1226.9944842287766</v>
      </c>
      <c r="W82">
        <f>V82/3.28</f>
        <v>374.08368421609043</v>
      </c>
      <c r="X82">
        <f>F82*V82</f>
        <v>631.70745565963512</v>
      </c>
      <c r="Y82">
        <f>X82/3.28</f>
        <v>192.5937364815961</v>
      </c>
      <c r="AA82">
        <f>D82/$D$131</f>
        <v>0.84093842001713848</v>
      </c>
      <c r="AB82">
        <f>F82</f>
        <v>0.5148413165497584</v>
      </c>
      <c r="AC82">
        <f>H82/$H$5</f>
        <v>0.29263034522118669</v>
      </c>
      <c r="AD82">
        <f>J82/$J$5</f>
        <v>0.3329473677236352</v>
      </c>
      <c r="AE82">
        <f>L82/$L$5</f>
        <v>0.96379337216562733</v>
      </c>
      <c r="AF82">
        <f>T82/$T$5</f>
        <v>0.30362352935012543</v>
      </c>
      <c r="AG82">
        <f>X82/$X$5</f>
        <v>1.8526232179830482</v>
      </c>
    </row>
    <row r="83" spans="1:33" x14ac:dyDescent="0.25">
      <c r="A83" s="30" t="s">
        <v>114</v>
      </c>
      <c r="B83">
        <v>8.7266462599716474E-2</v>
      </c>
      <c r="C83">
        <v>20.833333333333332</v>
      </c>
      <c r="D83">
        <f>(1/Gam*(1/M_3^2-1/F83^2)+(Gam+1)/2/Gam*LN((M_3^2/F83^2)*(1+F83^2*(Gam-1)/2)/(1+M_3^2*(Gam-1)/2)))*C83+L</f>
        <v>106.58755571742979</v>
      </c>
      <c r="E83">
        <f>D83/3.28</f>
        <v>32.496206011411523</v>
      </c>
      <c r="F83">
        <f>F82+0.01</f>
        <v>0.52484131654975841</v>
      </c>
      <c r="G83">
        <f>(Gam/Z/Rg)^0.5*F83*(1+F83^2*(Gam-1)/2)^(-(Gam+1)/2/(Gam-1))</f>
        <v>7.238390597727816E-2</v>
      </c>
      <c r="H83">
        <f>J83/(1+(Gam-1)/2*F83^2)^(Gam/(Gam-1))</f>
        <v>108.92698955464049</v>
      </c>
      <c r="I83" s="21">
        <f>H83*6.89476</f>
        <v>751.02545050175297</v>
      </c>
      <c r="J83">
        <f>mdot*P83^0.5/B83/G83/gc^0.5/144</f>
        <v>131.41689371947919</v>
      </c>
      <c r="K83" s="21">
        <f>J83*6.89476</f>
        <v>906.08794214131626</v>
      </c>
      <c r="L83">
        <f>P83/(1+(Gam-1)/2*F83^2)</f>
        <v>625.22528758349142</v>
      </c>
      <c r="M83">
        <f>L83/1.8</f>
        <v>347.34738199082858</v>
      </c>
      <c r="N83">
        <f>L83-'Example 7.1 - Pipe P1'!$C$8</f>
        <v>165.55528758349141</v>
      </c>
      <c r="O83">
        <f>M83-'Example 7.1 - Pipe P1'!$C$9</f>
        <v>74.197381990828603</v>
      </c>
      <c r="P83">
        <f>P82</f>
        <v>659.67000000000007</v>
      </c>
      <c r="Q83">
        <f>Q82</f>
        <v>366.48333333333335</v>
      </c>
      <c r="R83">
        <f>P83-'Example 7.1 - Pipe P1'!$C$8</f>
        <v>200.00000000000006</v>
      </c>
      <c r="S83">
        <f>Q83-'Example 7.1 - Pipe P1'!$C$9</f>
        <v>93.333333333333371</v>
      </c>
      <c r="T83">
        <f>H83/L83/Rg/Z*144</f>
        <v>0.47022164198797017</v>
      </c>
      <c r="U83">
        <f>T83*16.01846</f>
        <v>7.5322265633186216</v>
      </c>
      <c r="V83">
        <f>(Gam*H83/T83*gc*144)^0.5</f>
        <v>1225.784813045012</v>
      </c>
      <c r="W83">
        <f>V83/3.28</f>
        <v>373.71488202591831</v>
      </c>
      <c r="X83">
        <f>F83*V83</f>
        <v>643.34251508524358</v>
      </c>
      <c r="Y83">
        <f>X83/3.28</f>
        <v>196.14101069672063</v>
      </c>
      <c r="AA83">
        <f>D83/$D$131</f>
        <v>0.85267545508691422</v>
      </c>
      <c r="AB83">
        <f>F83</f>
        <v>0.52484131654975841</v>
      </c>
      <c r="AC83">
        <f>H83/$H$5</f>
        <v>0.28677174666508715</v>
      </c>
      <c r="AD83">
        <f>J83/$J$5</f>
        <v>0.328542234298698</v>
      </c>
      <c r="AE83">
        <f>L83/$L$5</f>
        <v>0.96189393679238766</v>
      </c>
      <c r="AF83">
        <f>T83/$T$5</f>
        <v>0.29813239869395608</v>
      </c>
      <c r="AG83">
        <f>X83/$X$5</f>
        <v>1.8867456286675737</v>
      </c>
    </row>
    <row r="84" spans="1:33" x14ac:dyDescent="0.25">
      <c r="A84" s="30" t="s">
        <v>114</v>
      </c>
      <c r="B84">
        <v>8.7266462599716474E-2</v>
      </c>
      <c r="C84">
        <v>20.833333333333332</v>
      </c>
      <c r="D84">
        <f>(1/Gam*(1/M_3^2-1/F84^2)+(Gam+1)/2/Gam*LN((M_3^2/F84^2)*(1+F84^2*(Gam-1)/2)/(1+M_3^2*(Gam-1)/2)))*C84+L</f>
        <v>107.95055978210075</v>
      </c>
      <c r="E84">
        <f>D84/3.28</f>
        <v>32.911756031128277</v>
      </c>
      <c r="F84">
        <f>F83+0.01</f>
        <v>0.53484131654975842</v>
      </c>
      <c r="G84">
        <f>(Gam/Z/Rg)^0.5*F84*(1+F84^2*(Gam-1)/2)^(-(Gam+1)/2/(Gam-1))</f>
        <v>7.332033954663679E-2</v>
      </c>
      <c r="H84">
        <f>J84/(1+(Gam-1)/2*F84^2)^(Gam/(Gam-1))</f>
        <v>106.78317297829203</v>
      </c>
      <c r="I84" s="21">
        <f>H84*6.89476</f>
        <v>736.24434972380868</v>
      </c>
      <c r="J84">
        <f>mdot*P84^0.5/B84/G84/gc^0.5/144</f>
        <v>129.73846190068656</v>
      </c>
      <c r="K84" s="21">
        <f>J84*6.89476</f>
        <v>894.51555757437768</v>
      </c>
      <c r="L84">
        <f>P84/(1+(Gam-1)/2*F84^2)</f>
        <v>623.9719136596259</v>
      </c>
      <c r="M84">
        <f>L84/1.8</f>
        <v>346.65106314423662</v>
      </c>
      <c r="N84">
        <f>L84-'Example 7.1 - Pipe P1'!$C$8</f>
        <v>164.30191365962588</v>
      </c>
      <c r="O84">
        <f>M84-'Example 7.1 - Pipe P1'!$C$9</f>
        <v>73.501063144236639</v>
      </c>
      <c r="P84">
        <f>P83</f>
        <v>659.67000000000007</v>
      </c>
      <c r="Q84">
        <f>Q83</f>
        <v>366.48333333333335</v>
      </c>
      <c r="R84">
        <f>P84-'Example 7.1 - Pipe P1'!$C$8</f>
        <v>200.00000000000006</v>
      </c>
      <c r="S84">
        <f>Q84-'Example 7.1 - Pipe P1'!$C$9</f>
        <v>93.333333333333371</v>
      </c>
      <c r="T84">
        <f>H84/L84/Rg/Z*144</f>
        <v>0.46189304987144181</v>
      </c>
      <c r="U84">
        <f>T84*16.01846</f>
        <v>7.3988153436436965</v>
      </c>
      <c r="V84">
        <f>(Gam*H84/T84*gc*144)^0.5</f>
        <v>1224.5555461683655</v>
      </c>
      <c r="W84">
        <f>V84/3.28</f>
        <v>373.34010553913583</v>
      </c>
      <c r="X84">
        <f>F84*V84</f>
        <v>654.9429005009971</v>
      </c>
      <c r="Y84">
        <f>X84/3.28</f>
        <v>199.67771356737717</v>
      </c>
      <c r="AA84">
        <f>D84/$D$131</f>
        <v>0.86357916803263268</v>
      </c>
      <c r="AB84">
        <f>F84</f>
        <v>0.53484131654975842</v>
      </c>
      <c r="AC84">
        <f>H84/$H$5</f>
        <v>0.28112772743126241</v>
      </c>
      <c r="AD84">
        <f>J84/$J$5</f>
        <v>0.32434615475171641</v>
      </c>
      <c r="AE84">
        <f>L84/$L$5</f>
        <v>0.95996565141775148</v>
      </c>
      <c r="AF84">
        <f>T84/$T$5</f>
        <v>0.29285186091405591</v>
      </c>
      <c r="AG84">
        <f>X84/$X$5</f>
        <v>1.9207663500730787</v>
      </c>
    </row>
    <row r="85" spans="1:33" x14ac:dyDescent="0.25">
      <c r="A85" s="30" t="s">
        <v>114</v>
      </c>
      <c r="B85">
        <v>8.7266462599716474E-2</v>
      </c>
      <c r="C85">
        <v>20.833333333333332</v>
      </c>
      <c r="D85">
        <f>(1/Gam*(1/M_3^2-1/F85^2)+(Gam+1)/2/Gam*LN((M_3^2/F85^2)*(1+F85^2*(Gam-1)/2)/(1+M_3^2*(Gam-1)/2)))*C85+L</f>
        <v>109.21747560202243</v>
      </c>
      <c r="E85">
        <f>D85/3.28</f>
        <v>33.298010854275134</v>
      </c>
      <c r="F85">
        <f>F84+0.01</f>
        <v>0.54484131654975843</v>
      </c>
      <c r="G85">
        <f>(Gam/Z/Rg)^0.5*F85*(1+F85^2*(Gam-1)/2)^(-(Gam+1)/2/(Gam-1))</f>
        <v>7.4235410121660961E-2</v>
      </c>
      <c r="H85">
        <f>J85/(1+(Gam-1)/2*F85^2)^(Gam/(Gam-1))</f>
        <v>104.71639041460777</v>
      </c>
      <c r="I85" s="21">
        <f>H85*6.89476</f>
        <v>721.99437997502105</v>
      </c>
      <c r="J85">
        <f>mdot*P85^0.5/B85/G85/gc^0.5/144</f>
        <v>128.13922713200071</v>
      </c>
      <c r="K85" s="21">
        <f>J85*6.89476</f>
        <v>883.48921766063324</v>
      </c>
      <c r="L85">
        <f>P85/(1+(Gam-1)/2*F85^2)</f>
        <v>622.7000419307933</v>
      </c>
      <c r="M85">
        <f>L85/1.8</f>
        <v>345.94446773932958</v>
      </c>
      <c r="N85">
        <f>L85-'Example 7.1 - Pipe P1'!$C$8</f>
        <v>163.03004193079329</v>
      </c>
      <c r="O85">
        <f>M85-'Example 7.1 - Pipe P1'!$C$9</f>
        <v>72.794467739329605</v>
      </c>
      <c r="P85">
        <f>P84</f>
        <v>659.67000000000007</v>
      </c>
      <c r="Q85">
        <f>Q84</f>
        <v>366.48333333333335</v>
      </c>
      <c r="R85">
        <f>P85-'Example 7.1 - Pipe P1'!$C$8</f>
        <v>200.00000000000006</v>
      </c>
      <c r="S85">
        <f>Q85-'Example 7.1 - Pipe P1'!$C$9</f>
        <v>93.333333333333371</v>
      </c>
      <c r="T85">
        <f>H85/L85/Rg/Z*144</f>
        <v>0.45387829655181938</v>
      </c>
      <c r="U85">
        <f>T85*16.01846</f>
        <v>7.2704313381834575</v>
      </c>
      <c r="V85">
        <f>(Gam*H85/T85*gc*144)^0.5</f>
        <v>1223.3068745330058</v>
      </c>
      <c r="W85">
        <f>V85/3.28</f>
        <v>372.95941296737988</v>
      </c>
      <c r="X85">
        <f>F85*V85</f>
        <v>666.50812806493309</v>
      </c>
      <c r="Y85">
        <f>X85/3.28</f>
        <v>203.20369758077229</v>
      </c>
      <c r="AA85">
        <f>D85/$D$131</f>
        <v>0.87371419754932778</v>
      </c>
      <c r="AB85">
        <f>F85</f>
        <v>0.54484131654975843</v>
      </c>
      <c r="AC85">
        <f>H85/$H$5</f>
        <v>0.27568651540302241</v>
      </c>
      <c r="AD85">
        <f>J85/$J$5</f>
        <v>0.3203480678300018</v>
      </c>
      <c r="AE85">
        <f>L85/$L$5</f>
        <v>0.95800890761893587</v>
      </c>
      <c r="AF85">
        <f>T85/$T$5</f>
        <v>0.28777030485887861</v>
      </c>
      <c r="AG85">
        <f>X85/$X$5</f>
        <v>1.9546839632249327</v>
      </c>
    </row>
    <row r="86" spans="1:33" x14ac:dyDescent="0.25">
      <c r="A86" s="30" t="s">
        <v>114</v>
      </c>
      <c r="B86">
        <v>8.7266462599716474E-2</v>
      </c>
      <c r="C86">
        <v>20.833333333333332</v>
      </c>
      <c r="D86">
        <f>(1/Gam*(1/M_3^2-1/F86^2)+(Gam+1)/2/Gam*LN((M_3^2/F86^2)*(1+F86^2*(Gam-1)/2)/(1+M_3^2*(Gam-1)/2)))*C86+L</f>
        <v>110.39564466260038</v>
      </c>
      <c r="E86">
        <f>D86/3.28</f>
        <v>33.657208738597674</v>
      </c>
      <c r="F86">
        <f>F85+0.01</f>
        <v>0.55484131654975843</v>
      </c>
      <c r="G86">
        <f>(Gam/Z/Rg)^0.5*F86*(1+F86^2*(Gam-1)/2)^(-(Gam+1)/2/(Gam-1))</f>
        <v>7.5129024854779569E-2</v>
      </c>
      <c r="H86">
        <f>J86/(1+(Gam-1)/2*F86^2)^(Gam/(Gam-1))</f>
        <v>102.72249288505894</v>
      </c>
      <c r="I86" s="21">
        <f>H86*6.89476</f>
        <v>708.24693504418894</v>
      </c>
      <c r="J86">
        <f>mdot*P86^0.5/B86/G86/gc^0.5/144</f>
        <v>126.61508780666109</v>
      </c>
      <c r="K86" s="21">
        <f>J86*6.89476</f>
        <v>872.98064280585459</v>
      </c>
      <c r="L86">
        <f>P86/(1+(Gam-1)/2*F86^2)</f>
        <v>621.40992905008056</v>
      </c>
      <c r="M86">
        <f>L86/1.8</f>
        <v>345.22773836115584</v>
      </c>
      <c r="N86">
        <f>L86-'Example 7.1 - Pipe P1'!$C$8</f>
        <v>161.73992905008055</v>
      </c>
      <c r="O86">
        <f>M86-'Example 7.1 - Pipe P1'!$C$9</f>
        <v>72.077738361155866</v>
      </c>
      <c r="P86">
        <f>P85</f>
        <v>659.67000000000007</v>
      </c>
      <c r="Q86">
        <f>Q85</f>
        <v>366.48333333333335</v>
      </c>
      <c r="R86">
        <f>P86-'Example 7.1 - Pipe P1'!$C$8</f>
        <v>200.00000000000006</v>
      </c>
      <c r="S86">
        <f>Q86-'Example 7.1 - Pipe P1'!$C$9</f>
        <v>93.333333333333371</v>
      </c>
      <c r="T86">
        <f>H86/L86/Rg/Z*144</f>
        <v>0.44616038857118723</v>
      </c>
      <c r="U86">
        <f>T86*16.01846</f>
        <v>7.1468023379120202</v>
      </c>
      <c r="V86">
        <f>(Gam*H86/T86*gc*144)^0.5</f>
        <v>1222.0389910176302</v>
      </c>
      <c r="W86">
        <f>V86/3.28</f>
        <v>372.57286311513121</v>
      </c>
      <c r="X86">
        <f>F86*V86</f>
        <v>678.03772265136035</v>
      </c>
      <c r="Y86">
        <f>X86/3.28</f>
        <v>206.71881788151231</v>
      </c>
      <c r="AA86">
        <f>D86/$D$131</f>
        <v>0.88313927379894985</v>
      </c>
      <c r="AB86">
        <f>F86</f>
        <v>0.55484131654975843</v>
      </c>
      <c r="AC86">
        <f>H86/$H$5</f>
        <v>0.27043718757749674</v>
      </c>
      <c r="AD86">
        <f>J86/$J$5</f>
        <v>0.31653771951665272</v>
      </c>
      <c r="AE86">
        <f>L86/$L$5</f>
        <v>0.95602410025048845</v>
      </c>
      <c r="AF86">
        <f>T86/$T$5</f>
        <v>0.28287695624685544</v>
      </c>
      <c r="AG86">
        <f>X86/$X$5</f>
        <v>1.988497074710917</v>
      </c>
    </row>
    <row r="87" spans="1:33" x14ac:dyDescent="0.25">
      <c r="A87" s="30" t="s">
        <v>114</v>
      </c>
      <c r="B87">
        <v>8.7266462599716474E-2</v>
      </c>
      <c r="C87">
        <v>20.833333333333332</v>
      </c>
      <c r="D87">
        <f>(1/Gam*(1/M_3^2-1/F87^2)+(Gam+1)/2/Gam*LN((M_3^2/F87^2)*(1+F87^2*(Gam-1)/2)/(1+M_3^2*(Gam-1)/2)))*C87+L</f>
        <v>111.49174849698505</v>
      </c>
      <c r="E87">
        <f>D87/3.28</f>
        <v>33.991386736885687</v>
      </c>
      <c r="F87">
        <f>F86+0.01</f>
        <v>0.56484131654975844</v>
      </c>
      <c r="G87">
        <f>(Gam/Z/Rg)^0.5*F87*(1+F87^2*(Gam-1)/2)^(-(Gam+1)/2/(Gam-1))</f>
        <v>7.6001103308181064E-2</v>
      </c>
      <c r="H87">
        <f>J87/(1+(Gam-1)/2*F87^2)^(Gam/(Gam-1))</f>
        <v>100.79762538092889</v>
      </c>
      <c r="I87" s="21">
        <f>H87*6.89476</f>
        <v>694.9754355714133</v>
      </c>
      <c r="J87">
        <f>mdot*P87^0.5/B87/G87/gc^0.5/144</f>
        <v>125.16223666180355</v>
      </c>
      <c r="K87" s="21">
        <f>J87*6.89476</f>
        <v>862.96358284633664</v>
      </c>
      <c r="L87">
        <f>P87/(1+(Gam-1)/2*F87^2)</f>
        <v>620.10183368269543</v>
      </c>
      <c r="M87">
        <f>L87/1.8</f>
        <v>344.50101871260858</v>
      </c>
      <c r="N87">
        <f>L87-'Example 7.1 - Pipe P1'!$C$8</f>
        <v>160.43183368269541</v>
      </c>
      <c r="O87">
        <f>M87-'Example 7.1 - Pipe P1'!$C$9</f>
        <v>71.351018712608607</v>
      </c>
      <c r="P87">
        <f>P86</f>
        <v>659.67000000000007</v>
      </c>
      <c r="Q87">
        <f>Q86</f>
        <v>366.48333333333335</v>
      </c>
      <c r="R87">
        <f>P87-'Example 7.1 - Pipe P1'!$C$8</f>
        <v>200.00000000000006</v>
      </c>
      <c r="S87">
        <f>Q87-'Example 7.1 - Pipe P1'!$C$9</f>
        <v>93.333333333333371</v>
      </c>
      <c r="T87">
        <f>H87/L87/Rg/Z*144</f>
        <v>0.43872353556821669</v>
      </c>
      <c r="U87">
        <f>T87*16.01846</f>
        <v>7.0276754055580568</v>
      </c>
      <c r="V87">
        <f>(Gam*H87/T87*gc*144)^0.5</f>
        <v>1220.7520903696434</v>
      </c>
      <c r="W87">
        <f>V87/3.28</f>
        <v>372.18051535659862</v>
      </c>
      <c r="X87">
        <f>F87*V87</f>
        <v>689.53121790525904</v>
      </c>
      <c r="Y87">
        <f>X87/3.28</f>
        <v>210.22293228818876</v>
      </c>
      <c r="AA87">
        <f>D87/$D$131</f>
        <v>0.89190784748014207</v>
      </c>
      <c r="AB87">
        <f>F87</f>
        <v>0.56484131654975844</v>
      </c>
      <c r="AC87">
        <f>H87/$H$5</f>
        <v>0.26536959488522516</v>
      </c>
      <c r="AD87">
        <f>J87/$J$5</f>
        <v>0.31290559165450887</v>
      </c>
      <c r="AE87">
        <f>L87/$L$5</f>
        <v>0.95401162726255617</v>
      </c>
      <c r="AF87">
        <f>T87/$T$5</f>
        <v>0.27816180359004367</v>
      </c>
      <c r="AG87">
        <f>X87/$X$5</f>
        <v>2.0222043168407668</v>
      </c>
    </row>
    <row r="88" spans="1:33" x14ac:dyDescent="0.25">
      <c r="A88" s="30" t="s">
        <v>114</v>
      </c>
      <c r="B88">
        <v>8.7266462599716474E-2</v>
      </c>
      <c r="C88">
        <v>20.833333333333332</v>
      </c>
      <c r="D88">
        <f>(1/Gam*(1/M_3^2-1/F88^2)+(Gam+1)/2/Gam*LN((M_3^2/F88^2)*(1+F88^2*(Gam-1)/2)/(1+M_3^2*(Gam-1)/2)))*C88+L</f>
        <v>112.51187776939179</v>
      </c>
      <c r="E88">
        <f>D88/3.28</f>
        <v>34.302401758960912</v>
      </c>
      <c r="F88">
        <f>F87+0.01</f>
        <v>0.57484131654975845</v>
      </c>
      <c r="G88">
        <f>(Gam/Z/Rg)^0.5*F88*(1+F88^2*(Gam-1)/2)^(-(Gam+1)/2/(Gam-1))</f>
        <v>7.6851577335211696E-2</v>
      </c>
      <c r="H88">
        <f>J88/(1+(Gam-1)/2*F88^2)^(Gam/(Gam-1))</f>
        <v>98.93820128751122</v>
      </c>
      <c r="I88" s="21">
        <f>H88*6.89476</f>
        <v>682.15515270908088</v>
      </c>
      <c r="J88">
        <f>mdot*P88^0.5/B88/G88/gc^0.5/144</f>
        <v>123.77713520862682</v>
      </c>
      <c r="K88" s="21">
        <f>J88*6.89476</f>
        <v>853.41364075103183</v>
      </c>
      <c r="L88">
        <f>P88/(1+(Gam-1)/2*F88^2)</f>
        <v>618.77601638816043</v>
      </c>
      <c r="M88">
        <f>L88/1.8</f>
        <v>343.764453548978</v>
      </c>
      <c r="N88">
        <f>L88-'Example 7.1 - Pipe P1'!$C$8</f>
        <v>159.10601638816041</v>
      </c>
      <c r="O88">
        <f>M88-'Example 7.1 - Pipe P1'!$C$9</f>
        <v>70.61445354897802</v>
      </c>
      <c r="P88">
        <f>P87</f>
        <v>659.67000000000007</v>
      </c>
      <c r="Q88">
        <f>Q87</f>
        <v>366.48333333333335</v>
      </c>
      <c r="R88">
        <f>P88-'Example 7.1 - Pipe P1'!$C$8</f>
        <v>200.00000000000006</v>
      </c>
      <c r="S88">
        <f>Q88-'Example 7.1 - Pipe P1'!$C$9</f>
        <v>93.333333333333371</v>
      </c>
      <c r="T88">
        <f>H88/L88/Rg/Z*144</f>
        <v>0.43155304563803371</v>
      </c>
      <c r="U88">
        <f>T88*16.01846</f>
        <v>6.9128151994310176</v>
      </c>
      <c r="V88">
        <f>(Gam*H88/T88*gc*144)^0.5</f>
        <v>1219.4463691293156</v>
      </c>
      <c r="W88">
        <f>V88/3.28</f>
        <v>371.78242961259622</v>
      </c>
      <c r="X88">
        <f>F88*V88</f>
        <v>700.98815629211845</v>
      </c>
      <c r="Y88">
        <f>X88/3.28</f>
        <v>213.71590130857271</v>
      </c>
      <c r="AA88">
        <f>D88/$D$131</f>
        <v>0.9000686424786023</v>
      </c>
      <c r="AB88">
        <f>F88</f>
        <v>0.57484131654975845</v>
      </c>
      <c r="AC88">
        <f>H88/$H$5</f>
        <v>0.26047429485682355</v>
      </c>
      <c r="AD88">
        <f>J88/$J$5</f>
        <v>0.30944283802156702</v>
      </c>
      <c r="AE88">
        <f>L88/$L$5</f>
        <v>0.95197188951964318</v>
      </c>
      <c r="AF88">
        <f>T88/$T$5</f>
        <v>0.2736155318496396</v>
      </c>
      <c r="AG88">
        <f>X88/$X$5</f>
        <v>2.0558043477923298</v>
      </c>
    </row>
    <row r="89" spans="1:33" x14ac:dyDescent="0.25">
      <c r="A89" s="30" t="s">
        <v>114</v>
      </c>
      <c r="B89">
        <v>8.7266462599716474E-2</v>
      </c>
      <c r="C89">
        <v>20.833333333333332</v>
      </c>
      <c r="D89">
        <f>(1/Gam*(1/M_3^2-1/F89^2)+(Gam+1)/2/Gam*LN((M_3^2/F89^2)*(1+F89^2*(Gam-1)/2)/(1+M_3^2*(Gam-1)/2)))*C89+L</f>
        <v>113.46159310632302</v>
      </c>
      <c r="E89">
        <f>D89/3.28</f>
        <v>34.591949117781411</v>
      </c>
      <c r="F89">
        <f>F88+0.01</f>
        <v>0.58484131654975846</v>
      </c>
      <c r="G89">
        <f>(Gam/Z/Rg)^0.5*F89*(1+F89^2*(Gam-1)/2)^(-(Gam+1)/2/(Gam-1))</f>
        <v>7.7680390951342562E-2</v>
      </c>
      <c r="H89">
        <f>J89/(1+(Gam-1)/2*F89^2)^(Gam/(Gam-1))</f>
        <v>97.140879432180071</v>
      </c>
      <c r="I89" s="21">
        <f>H89*6.89476</f>
        <v>669.76304987381786</v>
      </c>
      <c r="J89">
        <f>mdot*P89^0.5/B89/G89/gc^0.5/144</f>
        <v>122.45649078639624</v>
      </c>
      <c r="K89" s="21">
        <f>J89*6.89476</f>
        <v>844.30811441441335</v>
      </c>
      <c r="L89">
        <f>P89/(1+(Gam-1)/2*F89^2)</f>
        <v>617.43273950290893</v>
      </c>
      <c r="M89">
        <f>L89/1.8</f>
        <v>343.01818861272716</v>
      </c>
      <c r="N89">
        <f>L89-'Example 7.1 - Pipe P1'!$C$8</f>
        <v>157.76273950290891</v>
      </c>
      <c r="O89">
        <f>M89-'Example 7.1 - Pipe P1'!$C$9</f>
        <v>69.868188612727181</v>
      </c>
      <c r="P89">
        <f>P88</f>
        <v>659.67000000000007</v>
      </c>
      <c r="Q89">
        <f>Q88</f>
        <v>366.48333333333335</v>
      </c>
      <c r="R89">
        <f>P89-'Example 7.1 - Pipe P1'!$C$8</f>
        <v>200.00000000000006</v>
      </c>
      <c r="S89">
        <f>Q89-'Example 7.1 - Pipe P1'!$C$9</f>
        <v>93.333333333333371</v>
      </c>
      <c r="T89">
        <f>H89/L89/Rg/Z*144</f>
        <v>0.4246352314273476</v>
      </c>
      <c r="U89">
        <f>T89*16.01846</f>
        <v>6.802002469209711</v>
      </c>
      <c r="V89">
        <f>(Gam*H89/T89*gc*144)^0.5</f>
        <v>1218.122025553964</v>
      </c>
      <c r="W89">
        <f>V89/3.28</f>
        <v>371.37866632742805</v>
      </c>
      <c r="X89">
        <f>F89*V89</f>
        <v>712.40808914323884</v>
      </c>
      <c r="Y89">
        <f>X89/3.28</f>
        <v>217.19758815342649</v>
      </c>
      <c r="AA89">
        <f>D89/$D$131</f>
        <v>0.90766614250259836</v>
      </c>
      <c r="AB89">
        <f>F89</f>
        <v>0.58484131654975846</v>
      </c>
      <c r="AC89">
        <f>H89/$H$5</f>
        <v>0.25574249119751008</v>
      </c>
      <c r="AD89">
        <f>J89/$J$5</f>
        <v>0.30614122696599061</v>
      </c>
      <c r="AE89">
        <f>L89/$L$5</f>
        <v>0.94990529061998774</v>
      </c>
      <c r="AF89">
        <f>T89/$T$5</f>
        <v>0.26922946289791799</v>
      </c>
      <c r="AG89">
        <f>X89/$X$5</f>
        <v>2.0892958517444256</v>
      </c>
    </row>
    <row r="90" spans="1:33" x14ac:dyDescent="0.25">
      <c r="A90" s="30" t="s">
        <v>114</v>
      </c>
      <c r="B90">
        <v>8.7266462599716474E-2</v>
      </c>
      <c r="C90">
        <v>20.833333333333332</v>
      </c>
      <c r="D90">
        <f>(1/Gam*(1/M_3^2-1/F90^2)+(Gam+1)/2/Gam*LN((M_3^2/F90^2)*(1+F90^2*(Gam-1)/2)/(1+M_3^2*(Gam-1)/2)))*C90+L</f>
        <v>114.34597878067453</v>
      </c>
      <c r="E90">
        <f>D90/3.28</f>
        <v>34.861578896547115</v>
      </c>
      <c r="F90">
        <f>F89+0.01</f>
        <v>0.59484131654975847</v>
      </c>
      <c r="G90">
        <f>(Gam/Z/Rg)^0.5*F90*(1+F90^2*(Gam-1)/2)^(-(Gam+1)/2/(Gam-1))</f>
        <v>7.8487500195070128E-2</v>
      </c>
      <c r="H90">
        <f>J90/(1+(Gam-1)/2*F90^2)^(Gam/(Gam-1))</f>
        <v>95.40254344756498</v>
      </c>
      <c r="I90" s="21">
        <f>H90*6.89476</f>
        <v>657.77764046053312</v>
      </c>
      <c r="J90">
        <f>mdot*P90^0.5/B90/G90/gc^0.5/144</f>
        <v>121.19723593151492</v>
      </c>
      <c r="K90" s="21">
        <f>J90*6.89476</f>
        <v>835.62585441117187</v>
      </c>
      <c r="L90">
        <f>P90/(1+(Gam-1)/2*F90^2)</f>
        <v>616.07226702337346</v>
      </c>
      <c r="M90">
        <f>L90/1.8</f>
        <v>342.2623705685408</v>
      </c>
      <c r="N90">
        <f>L90-'Example 7.1 - Pipe P1'!$C$8</f>
        <v>156.40226702337344</v>
      </c>
      <c r="O90">
        <f>M90-'Example 7.1 - Pipe P1'!$C$9</f>
        <v>69.112370568540825</v>
      </c>
      <c r="P90">
        <f>P89</f>
        <v>659.67000000000007</v>
      </c>
      <c r="Q90">
        <f>Q89</f>
        <v>366.48333333333335</v>
      </c>
      <c r="R90">
        <f>P90-'Example 7.1 - Pipe P1'!$C$8</f>
        <v>200.00000000000006</v>
      </c>
      <c r="S90">
        <f>Q90-'Example 7.1 - Pipe P1'!$C$9</f>
        <v>93.333333333333371</v>
      </c>
      <c r="T90">
        <f>H90/L90/Rg/Z*144</f>
        <v>0.41795732570153515</v>
      </c>
      <c r="U90">
        <f>T90*16.01846</f>
        <v>6.695032703457013</v>
      </c>
      <c r="V90">
        <f>(Gam*H90/T90*gc*144)^0.5</f>
        <v>1216.7792595422131</v>
      </c>
      <c r="W90">
        <f>V90/3.28</f>
        <v>370.96928644579668</v>
      </c>
      <c r="X90">
        <f>F90*V90</f>
        <v>723.79057669653037</v>
      </c>
      <c r="Y90">
        <f>X90/3.28</f>
        <v>220.66785874894219</v>
      </c>
      <c r="AA90">
        <f>D90/$D$131</f>
        <v>0.9147410205432317</v>
      </c>
      <c r="AB90">
        <f>F90</f>
        <v>0.59484131654975847</v>
      </c>
      <c r="AC90">
        <f>H90/$H$5</f>
        <v>0.25116597945659963</v>
      </c>
      <c r="AD90">
        <f>J90/$J$5</f>
        <v>0.30299308982878731</v>
      </c>
      <c r="AE90">
        <f>L90/$L$5</f>
        <v>0.94781223671569681</v>
      </c>
      <c r="AF90">
        <f>T90/$T$5</f>
        <v>0.26499550198563082</v>
      </c>
      <c r="AG90">
        <f>X90/$X$5</f>
        <v>2.1226775389964958</v>
      </c>
    </row>
    <row r="91" spans="1:33" x14ac:dyDescent="0.25">
      <c r="A91" s="30" t="s">
        <v>114</v>
      </c>
      <c r="B91">
        <v>8.7266462599716474E-2</v>
      </c>
      <c r="C91">
        <v>20.833333333333332</v>
      </c>
      <c r="D91">
        <f>(1/Gam*(1/M_3^2-1/F91^2)+(Gam+1)/2/Gam*LN((M_3^2/F91^2)*(1+F91^2*(Gam-1)/2)/(1+M_3^2*(Gam-1)/2)))*C91+L</f>
        <v>115.16969019021258</v>
      </c>
      <c r="E91">
        <f>D91/3.28</f>
        <v>35.1127104238453</v>
      </c>
      <c r="F91">
        <f>F90+0.01</f>
        <v>0.60484131654975848</v>
      </c>
      <c r="G91">
        <f>(Gam/Z/Rg)^0.5*F91*(1+F91^2*(Gam-1)/2)^(-(Gam+1)/2/(Gam-1))</f>
        <v>7.9272872979122916E-2</v>
      </c>
      <c r="H91">
        <f>J91/(1+(Gam-1)/2*F91^2)^(Gam/(Gam-1))</f>
        <v>93.720283181899433</v>
      </c>
      <c r="I91" s="21">
        <f>H91*6.89476</f>
        <v>646.17885967123289</v>
      </c>
      <c r="J91">
        <f>mdot*P91^0.5/B91/G91/gc^0.5/144</f>
        <v>119.99650979373382</v>
      </c>
      <c r="K91" s="21">
        <f>J91*6.89476</f>
        <v>827.34713586544422</v>
      </c>
      <c r="L91">
        <f>P91/(1+(Gam-1)/2*F91^2)</f>
        <v>614.69486448964847</v>
      </c>
      <c r="M91">
        <f>L91/1.8</f>
        <v>341.49714693869356</v>
      </c>
      <c r="N91">
        <f>L91-'Example 7.1 - Pipe P1'!$C$8</f>
        <v>155.02486448964845</v>
      </c>
      <c r="O91">
        <f>M91-'Example 7.1 - Pipe P1'!$C$9</f>
        <v>68.347146938693584</v>
      </c>
      <c r="P91">
        <f>P90</f>
        <v>659.67000000000007</v>
      </c>
      <c r="Q91">
        <f>Q90</f>
        <v>366.48333333333335</v>
      </c>
      <c r="R91">
        <f>P91-'Example 7.1 - Pipe P1'!$C$8</f>
        <v>200.00000000000006</v>
      </c>
      <c r="S91">
        <f>Q91-'Example 7.1 - Pipe P1'!$C$9</f>
        <v>93.333333333333371</v>
      </c>
      <c r="T91">
        <f>H91/L91/Rg/Z*144</f>
        <v>0.41150740528745566</v>
      </c>
      <c r="U91">
        <f>T91*16.01846</f>
        <v>6.5917149113008975</v>
      </c>
      <c r="V91">
        <f>(Gam*H91/T91*gc*144)^0.5</f>
        <v>1215.4182725583867</v>
      </c>
      <c r="W91">
        <f>V91/3.28</f>
        <v>370.55435138975207</v>
      </c>
      <c r="X91">
        <f>F91*V91</f>
        <v>735.13518813284782</v>
      </c>
      <c r="Y91">
        <f>X91/3.28</f>
        <v>224.12658174781947</v>
      </c>
      <c r="AA91">
        <f>D91/$D$131</f>
        <v>0.92133051869112181</v>
      </c>
      <c r="AB91">
        <f>F91</f>
        <v>0.60484131654975848</v>
      </c>
      <c r="AC91">
        <f>H91/$H$5</f>
        <v>0.24673709808658628</v>
      </c>
      <c r="AD91">
        <f>J91/$J$5</f>
        <v>0.29999127448433455</v>
      </c>
      <c r="AE91">
        <f>L91/$L$5</f>
        <v>0.94569313633376351</v>
      </c>
      <c r="AF91">
        <f>T91/$T$5</f>
        <v>0.26090608951983063</v>
      </c>
      <c r="AG91">
        <f>X91/$X$5</f>
        <v>2.1559481460751653</v>
      </c>
    </row>
    <row r="92" spans="1:33" x14ac:dyDescent="0.25">
      <c r="A92" s="30" t="s">
        <v>114</v>
      </c>
      <c r="B92">
        <v>8.7266462599716474E-2</v>
      </c>
      <c r="C92">
        <v>20.833333333333332</v>
      </c>
      <c r="D92">
        <f>(1/Gam*(1/M_3^2-1/F92^2)+(Gam+1)/2/Gam*LN((M_3^2/F92^2)*(1+F92^2*(Gam-1)/2)/(1+M_3^2*(Gam-1)/2)))*C92+L</f>
        <v>115.93699593483574</v>
      </c>
      <c r="E92">
        <f>D92/3.28</f>
        <v>35.346645102084068</v>
      </c>
      <c r="F92">
        <f>F91+0.01</f>
        <v>0.61484131654975849</v>
      </c>
      <c r="G92">
        <f>(Gam/Z/Rg)^0.5*F92*(1+F92^2*(Gam-1)/2)^(-(Gam+1)/2/(Gam-1))</f>
        <v>8.003648893235546E-2</v>
      </c>
      <c r="H92">
        <f>J92/(1+(Gam-1)/2*F92^2)^(Gam/(Gam-1))</f>
        <v>92.091377923475477</v>
      </c>
      <c r="I92" s="21">
        <f>H92*6.89476</f>
        <v>634.94794885166175</v>
      </c>
      <c r="J92">
        <f>mdot*P92^0.5/B92/G92/gc^0.5/144</f>
        <v>118.8516413664323</v>
      </c>
      <c r="K92" s="21">
        <f>J92*6.89476</f>
        <v>819.45354282762275</v>
      </c>
      <c r="L92">
        <f>P92/(1+(Gam-1)/2*F92^2)</f>
        <v>613.3007988698098</v>
      </c>
      <c r="M92">
        <f>L92/1.8</f>
        <v>340.72266603878319</v>
      </c>
      <c r="N92">
        <f>L92-'Example 7.1 - Pipe P1'!$C$8</f>
        <v>153.63079886980978</v>
      </c>
      <c r="O92">
        <f>M92-'Example 7.1 - Pipe P1'!$C$9</f>
        <v>67.572666038783211</v>
      </c>
      <c r="P92">
        <f>P91</f>
        <v>659.67000000000007</v>
      </c>
      <c r="Q92">
        <f>Q91</f>
        <v>366.48333333333335</v>
      </c>
      <c r="R92">
        <f>P92-'Example 7.1 - Pipe P1'!$C$8</f>
        <v>200.00000000000006</v>
      </c>
      <c r="S92">
        <f>Q92-'Example 7.1 - Pipe P1'!$C$9</f>
        <v>93.333333333333371</v>
      </c>
      <c r="T92">
        <f>H92/L92/Rg/Z*144</f>
        <v>0.40527432243841721</v>
      </c>
      <c r="U92">
        <f>T92*16.01846</f>
        <v>6.4918705230068889</v>
      </c>
      <c r="V92">
        <f>(Gam*H92/T92*gc*144)^0.5</f>
        <v>1214.0392675570699</v>
      </c>
      <c r="W92">
        <f>V92/3.28</f>
        <v>370.13392303569208</v>
      </c>
      <c r="X92">
        <f>F92*V92</f>
        <v>746.44150160789343</v>
      </c>
      <c r="Y92">
        <f>X92/3.28</f>
        <v>227.57362853899193</v>
      </c>
      <c r="AA92">
        <f>D92/$D$131</f>
        <v>0.92746878474463601</v>
      </c>
      <c r="AB92">
        <f>F92</f>
        <v>0.61484131654975849</v>
      </c>
      <c r="AC92">
        <f>H92/$H$5</f>
        <v>0.24244868427821731</v>
      </c>
      <c r="AD92">
        <f>J92/$J$5</f>
        <v>0.29712910341608079</v>
      </c>
      <c r="AE92">
        <f>L92/$L$5</f>
        <v>0.94354840019809583</v>
      </c>
      <c r="AF92">
        <f>T92/$T$5</f>
        <v>0.25695415754752571</v>
      </c>
      <c r="AG92">
        <f>X92/$X$5</f>
        <v>2.1891064358278038</v>
      </c>
    </row>
    <row r="93" spans="1:33" x14ac:dyDescent="0.25">
      <c r="A93" s="30" t="s">
        <v>114</v>
      </c>
      <c r="B93">
        <v>8.7266462599716474E-2</v>
      </c>
      <c r="C93">
        <v>20.833333333333332</v>
      </c>
      <c r="D93">
        <f>(1/Gam*(1/M_3^2-1/F93^2)+(Gam+1)/2/Gam*LN((M_3^2/F93^2)*(1+F93^2*(Gam-1)/2)/(1+M_3^2*(Gam-1)/2)))*C93+L</f>
        <v>116.65181518176551</v>
      </c>
      <c r="E93">
        <f>D93/3.28</f>
        <v>35.564577799318755</v>
      </c>
      <c r="F93">
        <f>F92+0.01</f>
        <v>0.6248413165497585</v>
      </c>
      <c r="G93">
        <f>(Gam/Z/Rg)^0.5*F93*(1+F93^2*(Gam-1)/2)^(-(Gam+1)/2/(Gam-1))</f>
        <v>8.0778339232717614E-2</v>
      </c>
      <c r="H93">
        <f>J93/(1+(Gam-1)/2*F93^2)^(Gam/(Gam-1))</f>
        <v>90.513281235976692</v>
      </c>
      <c r="I93" s="21">
        <f>H93*6.89476</f>
        <v>624.06735093456268</v>
      </c>
      <c r="J93">
        <f>mdot*P93^0.5/B93/G93/gc^0.5/144</f>
        <v>117.76013432774201</v>
      </c>
      <c r="K93" s="21">
        <f>J93*6.89476</f>
        <v>811.92786375754247</v>
      </c>
      <c r="L93">
        <f>P93/(1+(Gam-1)/2*F93^2)</f>
        <v>611.89033844497192</v>
      </c>
      <c r="M93">
        <f>L93/1.8</f>
        <v>339.93907691387329</v>
      </c>
      <c r="N93">
        <f>L93-'Example 7.1 - Pipe P1'!$C$8</f>
        <v>152.2203384449719</v>
      </c>
      <c r="O93">
        <f>M93-'Example 7.1 - Pipe P1'!$C$9</f>
        <v>66.789076913873316</v>
      </c>
      <c r="P93">
        <f>P92</f>
        <v>659.67000000000007</v>
      </c>
      <c r="Q93">
        <f>Q92</f>
        <v>366.48333333333335</v>
      </c>
      <c r="R93">
        <f>P93-'Example 7.1 - Pipe P1'!$C$8</f>
        <v>200.00000000000006</v>
      </c>
      <c r="S93">
        <f>Q93-'Example 7.1 - Pipe P1'!$C$9</f>
        <v>93.333333333333371</v>
      </c>
      <c r="T93">
        <f>H93/L93/Rg/Z*144</f>
        <v>0.39924764278979719</v>
      </c>
      <c r="U93">
        <f>T93*16.01846</f>
        <v>6.3953323961226554</v>
      </c>
      <c r="V93">
        <f>(Gam*H93/T93*gc*144)^0.5</f>
        <v>1212.6424489079029</v>
      </c>
      <c r="W93">
        <f>V93/3.28</f>
        <v>369.70806369143384</v>
      </c>
      <c r="X93">
        <f>F93*V93</f>
        <v>757.70910427973729</v>
      </c>
      <c r="Y93">
        <f>X93/3.28</f>
        <v>231.00887325601747</v>
      </c>
      <c r="AA93">
        <f>D93/$D$131</f>
        <v>0.93318717112265359</v>
      </c>
      <c r="AB93">
        <f>F93</f>
        <v>0.6248413165497585</v>
      </c>
      <c r="AC93">
        <f>H93/$H$5</f>
        <v>0.23829403403652122</v>
      </c>
      <c r="AD93">
        <f>J93/$J$5</f>
        <v>0.29440033581935504</v>
      </c>
      <c r="AE93">
        <f>L93/$L$5</f>
        <v>0.94137844105267976</v>
      </c>
      <c r="AF93">
        <f>T93/$T$5</f>
        <v>0.25313309041797594</v>
      </c>
      <c r="AG93">
        <f>X93/$X$5</f>
        <v>2.2221511975032349</v>
      </c>
    </row>
    <row r="94" spans="1:33" x14ac:dyDescent="0.25">
      <c r="A94" s="30" t="s">
        <v>114</v>
      </c>
      <c r="B94">
        <v>8.7266462599716474E-2</v>
      </c>
      <c r="C94">
        <v>20.833333333333332</v>
      </c>
      <c r="D94">
        <f>(1/Gam*(1/M_3^2-1/F94^2)+(Gam+1)/2/Gam*LN((M_3^2/F94^2)*(1+F94^2*(Gam-1)/2)/(1+M_3^2*(Gam-1)/2)))*C94+L</f>
        <v>117.31775091058964</v>
      </c>
      <c r="E94">
        <f>D94/3.28</f>
        <v>35.767606984935867</v>
      </c>
      <c r="F94">
        <f>F93+0.01</f>
        <v>0.63484131654975851</v>
      </c>
      <c r="G94">
        <f>(Gam/Z/Rg)^0.5*F94*(1+F94^2*(Gam-1)/2)^(-(Gam+1)/2/(Gam-1))</f>
        <v>8.1498426431692458E-2</v>
      </c>
      <c r="H94">
        <f>J94/(1+(Gam-1)/2*F94^2)^(Gam/(Gam-1))</f>
        <v>88.983607227070806</v>
      </c>
      <c r="I94" s="21">
        <f>H94*6.89476</f>
        <v>613.52061576491872</v>
      </c>
      <c r="J94">
        <f>mdot*P94^0.5/B94/G94/gc^0.5/144</f>
        <v>116.71965331489648</v>
      </c>
      <c r="K94" s="21">
        <f>J94*6.89476</f>
        <v>804.75399688941559</v>
      </c>
      <c r="L94">
        <f>P94/(1+(Gam-1)/2*F94^2)</f>
        <v>610.46375269515954</v>
      </c>
      <c r="M94">
        <f>L94/1.8</f>
        <v>339.14652927508865</v>
      </c>
      <c r="N94">
        <f>L94-'Example 7.1 - Pipe P1'!$C$8</f>
        <v>150.79375269515953</v>
      </c>
      <c r="O94">
        <f>M94-'Example 7.1 - Pipe P1'!$C$9</f>
        <v>65.996529275088676</v>
      </c>
      <c r="P94">
        <f>P93</f>
        <v>659.67000000000007</v>
      </c>
      <c r="Q94">
        <f>Q93</f>
        <v>366.48333333333335</v>
      </c>
      <c r="R94">
        <f>P94-'Example 7.1 - Pipe P1'!$C$8</f>
        <v>200.00000000000006</v>
      </c>
      <c r="S94">
        <f>Q94-'Example 7.1 - Pipe P1'!$C$9</f>
        <v>93.333333333333371</v>
      </c>
      <c r="T94">
        <f>H94/L94/Rg/Z*144</f>
        <v>0.3934175891786037</v>
      </c>
      <c r="U94">
        <f>T94*16.01846</f>
        <v>6.3019439155538963</v>
      </c>
      <c r="V94">
        <f>(Gam*H94/T94*gc*144)^0.5</f>
        <v>1211.2280223206408</v>
      </c>
      <c r="W94">
        <f>V94/3.28</f>
        <v>369.2768360733661</v>
      </c>
      <c r="X94">
        <f>F94*V94</f>
        <v>768.93759233199592</v>
      </c>
      <c r="Y94">
        <f>X94/3.28</f>
        <v>234.43219278414512</v>
      </c>
      <c r="AA94">
        <f>D94/$D$131</f>
        <v>0.93851450081711707</v>
      </c>
      <c r="AB94">
        <f>F94</f>
        <v>0.63484131654975851</v>
      </c>
      <c r="AC94">
        <f>H94/$H$5</f>
        <v>0.23426686603017435</v>
      </c>
      <c r="AD94">
        <f>J94/$J$5</f>
        <v>0.29179913328724116</v>
      </c>
      <c r="AE94">
        <f>L94/$L$5</f>
        <v>0.93918367348599574</v>
      </c>
      <c r="AF94">
        <f>T94/$T$5</f>
        <v>0.24943668916287604</v>
      </c>
      <c r="AG94">
        <f>X94/$X$5</f>
        <v>2.2550812468197146</v>
      </c>
    </row>
    <row r="95" spans="1:33" x14ac:dyDescent="0.25">
      <c r="A95" s="30" t="s">
        <v>114</v>
      </c>
      <c r="B95">
        <v>8.7266462599716474E-2</v>
      </c>
      <c r="C95">
        <v>20.833333333333332</v>
      </c>
      <c r="D95">
        <f>(1/Gam*(1/M_3^2-1/F95^2)+(Gam+1)/2/Gam*LN((M_3^2/F95^2)*(1+F95^2*(Gam-1)/2)/(1+M_3^2*(Gam-1)/2)))*C95+L</f>
        <v>117.93811954785158</v>
      </c>
      <c r="E95">
        <f>D95/3.28</f>
        <v>35.9567437645889</v>
      </c>
      <c r="F95">
        <f>F94+0.01</f>
        <v>0.64484131654975851</v>
      </c>
      <c r="G95">
        <f>(Gam/Z/Rg)^0.5*F95*(1+F95^2*(Gam-1)/2)^(-(Gam+1)/2/(Gam-1))</f>
        <v>8.2196764270602379E-2</v>
      </c>
      <c r="H95">
        <f>J95/(1+(Gam-1)/2*F95^2)^(Gam/(Gam-1))</f>
        <v>87.500118094680062</v>
      </c>
      <c r="I95" s="21">
        <f>H95*6.89476</f>
        <v>603.29231423447629</v>
      </c>
      <c r="J95">
        <f>mdot*P95^0.5/B95/G95/gc^0.5/144</f>
        <v>115.72801147622386</v>
      </c>
      <c r="K95" s="21">
        <f>J95*6.89476</f>
        <v>797.91686440580918</v>
      </c>
      <c r="L95">
        <f>P95/(1+(Gam-1)/2*F95^2)</f>
        <v>609.0213121860703</v>
      </c>
      <c r="M95">
        <f>L95/1.8</f>
        <v>338.34517343670569</v>
      </c>
      <c r="N95">
        <f>L95-'Example 7.1 - Pipe P1'!$C$8</f>
        <v>149.35131218607029</v>
      </c>
      <c r="O95">
        <f>M95-'Example 7.1 - Pipe P1'!$C$9</f>
        <v>65.195173436705716</v>
      </c>
      <c r="P95">
        <f>P94</f>
        <v>659.67000000000007</v>
      </c>
      <c r="Q95">
        <f>Q94</f>
        <v>366.48333333333335</v>
      </c>
      <c r="R95">
        <f>P95-'Example 7.1 - Pipe P1'!$C$8</f>
        <v>200.00000000000006</v>
      </c>
      <c r="S95">
        <f>Q95-'Example 7.1 - Pipe P1'!$C$9</f>
        <v>93.333333333333371</v>
      </c>
      <c r="T95">
        <f>H95/L95/Rg/Z*144</f>
        <v>0.38777499069042343</v>
      </c>
      <c r="U95">
        <f>T95*16.01846</f>
        <v>6.2115581773749202</v>
      </c>
      <c r="V95">
        <f>(Gam*H95/T95*gc*144)^0.5</f>
        <v>1209.7961947705342</v>
      </c>
      <c r="W95">
        <f>V95/3.28</f>
        <v>368.84030328369948</v>
      </c>
      <c r="X95">
        <f>F95*V95</f>
        <v>780.12657099271928</v>
      </c>
      <c r="Y95">
        <f>X95/3.28</f>
        <v>237.84346676607296</v>
      </c>
      <c r="AA95">
        <f>D95/$D$131</f>
        <v>0.94347730446280076</v>
      </c>
      <c r="AB95">
        <f>F95</f>
        <v>0.64484131654975851</v>
      </c>
      <c r="AC95">
        <f>H95/$H$5</f>
        <v>0.23036128880460563</v>
      </c>
      <c r="AD95">
        <f>J95/$J$5</f>
        <v>0.28932002869055962</v>
      </c>
      <c r="AE95">
        <f>L95/$L$5</f>
        <v>0.93696451375680545</v>
      </c>
      <c r="AF95">
        <f>T95/$T$5</f>
        <v>0.24585913919083305</v>
      </c>
      <c r="AG95">
        <f>X95/$X$5</f>
        <v>2.2878954260203188</v>
      </c>
    </row>
    <row r="96" spans="1:33" x14ac:dyDescent="0.25">
      <c r="A96" s="30" t="s">
        <v>114</v>
      </c>
      <c r="B96">
        <v>8.7266462599716474E-2</v>
      </c>
      <c r="C96">
        <v>20.833333333333332</v>
      </c>
      <c r="D96">
        <f>(1/Gam*(1/M_3^2-1/F96^2)+(Gam+1)/2/Gam*LN((M_3^2/F96^2)*(1+F96^2*(Gam-1)/2)/(1+M_3^2*(Gam-1)/2)))*C96+L</f>
        <v>118.51597743113871</v>
      </c>
      <c r="E96">
        <f>D96/3.28</f>
        <v>36.132919948517902</v>
      </c>
      <c r="F96">
        <f>F95+0.01</f>
        <v>0.65484131654975852</v>
      </c>
      <c r="G96">
        <f>(Gam/Z/Rg)^0.5*F96*(1+F96^2*(Gam-1)/2)^(-(Gam+1)/2/(Gam-1))</f>
        <v>8.2873377489185829E-2</v>
      </c>
      <c r="H96">
        <f>J96/(1+(Gam-1)/2*F96^2)^(Gam/(Gam-1))</f>
        <v>86.060712814353678</v>
      </c>
      <c r="I96" s="21">
        <f>H96*6.89476</f>
        <v>593.36796028389313</v>
      </c>
      <c r="J96">
        <f>mdot*P96^0.5/B96/G96/gc^0.5/144</f>
        <v>114.78315916420836</v>
      </c>
      <c r="K96" s="21">
        <f>J96*6.89476</f>
        <v>791.40233447901721</v>
      </c>
      <c r="L96">
        <f>P96/(1+(Gam-1)/2*F96^2)</f>
        <v>607.56328845680173</v>
      </c>
      <c r="M96">
        <f>L96/1.8</f>
        <v>337.53516025377871</v>
      </c>
      <c r="N96">
        <f>L96-'Example 7.1 - Pipe P1'!$C$8</f>
        <v>147.89328845680171</v>
      </c>
      <c r="O96">
        <f>M96-'Example 7.1 - Pipe P1'!$C$9</f>
        <v>64.385160253778736</v>
      </c>
      <c r="P96">
        <f>P95</f>
        <v>659.67000000000007</v>
      </c>
      <c r="Q96">
        <f>Q95</f>
        <v>366.48333333333335</v>
      </c>
      <c r="R96">
        <f>P96-'Example 7.1 - Pipe P1'!$C$8</f>
        <v>200.00000000000006</v>
      </c>
      <c r="S96">
        <f>Q96-'Example 7.1 - Pipe P1'!$C$9</f>
        <v>93.333333333333371</v>
      </c>
      <c r="T96">
        <f>H96/L96/Rg/Z*144</f>
        <v>0.38231123637496617</v>
      </c>
      <c r="U96">
        <f>T96*16.01846</f>
        <v>6.1240372474229412</v>
      </c>
      <c r="V96">
        <f>(Gam*H96/T96*gc*144)^0.5</f>
        <v>1208.3471744240703</v>
      </c>
      <c r="W96">
        <f>V96/3.28</f>
        <v>368.39852878782636</v>
      </c>
      <c r="X96">
        <f>F96*V96</f>
        <v>791.2756545490389</v>
      </c>
      <c r="Y96">
        <f>X96/3.28</f>
        <v>241.2425776064143</v>
      </c>
      <c r="AA96">
        <f>D96/$D$131</f>
        <v>0.94810003204381088</v>
      </c>
      <c r="AB96">
        <f>F96</f>
        <v>0.65484131654975852</v>
      </c>
      <c r="AC96">
        <f>H96/$H$5</f>
        <v>0.22657177099927708</v>
      </c>
      <c r="AD96">
        <f>J96/$J$5</f>
        <v>0.2869578979105209</v>
      </c>
      <c r="AE96">
        <f>L96/$L$5</f>
        <v>0.93472137962142299</v>
      </c>
      <c r="AF96">
        <f>T96/$T$5</f>
        <v>0.24239498094185266</v>
      </c>
      <c r="AG96">
        <f>X96/$X$5</f>
        <v>2.3205926039159039</v>
      </c>
    </row>
    <row r="97" spans="1:33" x14ac:dyDescent="0.25">
      <c r="A97" s="30" t="s">
        <v>114</v>
      </c>
      <c r="B97">
        <v>8.7266462599716474E-2</v>
      </c>
      <c r="C97">
        <v>20.833333333333332</v>
      </c>
      <c r="D97">
        <f>(1/Gam*(1/M_3^2-1/F97^2)+(Gam+1)/2/Gam*LN((M_3^2/F97^2)*(1+F97^2*(Gam-1)/2)/(1+M_3^2*(Gam-1)/2)))*C97+L</f>
        <v>119.05414448331277</v>
      </c>
      <c r="E97">
        <f>D97/3.28</f>
        <v>36.296995269302677</v>
      </c>
      <c r="F97">
        <f>F96+0.01</f>
        <v>0.66484131654975853</v>
      </c>
      <c r="G97">
        <f>(Gam/Z/Rg)^0.5*F97*(1+F97^2*(Gam-1)/2)^(-(Gam+1)/2/(Gam-1))</f>
        <v>8.3528301626851514E-2</v>
      </c>
      <c r="H97">
        <f>J97/(1+(Gam-1)/2*F97^2)^(Gam/(Gam-1))</f>
        <v>84.663416847600018</v>
      </c>
      <c r="I97" s="21">
        <f>H97*6.89476</f>
        <v>583.73393994415869</v>
      </c>
      <c r="J97">
        <f>mdot*P97^0.5/B97/G97/gc^0.5/144</f>
        <v>113.88317364947839</v>
      </c>
      <c r="K97" s="21">
        <f>J97*6.89476</f>
        <v>785.1971503514776</v>
      </c>
      <c r="L97">
        <f>P97/(1+(Gam-1)/2*F97^2)</f>
        <v>606.08995390861219</v>
      </c>
      <c r="M97">
        <f>L97/1.8</f>
        <v>336.71664106034012</v>
      </c>
      <c r="N97">
        <f>L97-'Example 7.1 - Pipe P1'!$C$8</f>
        <v>146.41995390861217</v>
      </c>
      <c r="O97">
        <f>M97-'Example 7.1 - Pipe P1'!$C$9</f>
        <v>63.566641060340146</v>
      </c>
      <c r="P97">
        <f>P96</f>
        <v>659.67000000000007</v>
      </c>
      <c r="Q97">
        <f>Q96</f>
        <v>366.48333333333335</v>
      </c>
      <c r="R97">
        <f>P97-'Example 7.1 - Pipe P1'!$C$8</f>
        <v>200.00000000000006</v>
      </c>
      <c r="S97">
        <f>Q97-'Example 7.1 - Pipe P1'!$C$9</f>
        <v>93.333333333333371</v>
      </c>
      <c r="T97">
        <f>H97/L97/Rg/Z*144</f>
        <v>0.3770182331386529</v>
      </c>
      <c r="U97">
        <f>T97*16.01846</f>
        <v>6.0392514868021863</v>
      </c>
      <c r="V97">
        <f>(Gam*H97/T97*gc*144)^0.5</f>
        <v>1206.8811705651196</v>
      </c>
      <c r="W97">
        <f>V97/3.28</f>
        <v>367.95157639180479</v>
      </c>
      <c r="X97">
        <f>F97*V97</f>
        <v>802.38446635762784</v>
      </c>
      <c r="Y97">
        <f>X97/3.28</f>
        <v>244.62941047488655</v>
      </c>
      <c r="AA97">
        <f>D97/$D$131</f>
        <v>0.95240524228187862</v>
      </c>
      <c r="AB97">
        <f>F97</f>
        <v>0.66484131654975853</v>
      </c>
      <c r="AC97">
        <f>H97/$H$5</f>
        <v>0.22289311425284211</v>
      </c>
      <c r="AD97">
        <f>J97/$J$5</f>
        <v>0.28470793412369599</v>
      </c>
      <c r="AE97">
        <f>L97/$L$5</f>
        <v>0.93245469016257565</v>
      </c>
      <c r="AF97">
        <f>T97/$T$5</f>
        <v>0.23903908319017642</v>
      </c>
      <c r="AG97">
        <f>X97/$X$5</f>
        <v>2.3531716759157839</v>
      </c>
    </row>
    <row r="98" spans="1:33" x14ac:dyDescent="0.25">
      <c r="A98" s="30" t="s">
        <v>114</v>
      </c>
      <c r="B98">
        <v>8.7266462599716474E-2</v>
      </c>
      <c r="C98">
        <v>20.833333333333332</v>
      </c>
      <c r="D98">
        <f>(1/Gam*(1/M_3^2-1/F98^2)+(Gam+1)/2/Gam*LN((M_3^2/F98^2)*(1+F98^2*(Gam-1)/2)/(1+M_3^2*(Gam-1)/2)))*C98+L</f>
        <v>119.55522542696323</v>
      </c>
      <c r="E98">
        <f>D98/3.28</f>
        <v>36.449763849683912</v>
      </c>
      <c r="F98">
        <f>F97+0.01</f>
        <v>0.67484131654975854</v>
      </c>
      <c r="G98">
        <f>(Gam/Z/Rg)^0.5*F98*(1+F98^2*(Gam-1)/2)^(-(Gam+1)/2/(Gam-1))</f>
        <v>8.4161582817018132E-2</v>
      </c>
      <c r="H98">
        <f>J98/(1+(Gam-1)/2*F98^2)^(Gam/(Gam-1))</f>
        <v>83.306372765280358</v>
      </c>
      <c r="I98" s="21">
        <f>H98*6.89476</f>
        <v>574.37744668714436</v>
      </c>
      <c r="J98">
        <f>mdot*P98^0.5/B98/G98/gc^0.5/144</f>
        <v>113.02624974982342</v>
      </c>
      <c r="K98" s="21">
        <f>J98*6.89476</f>
        <v>779.28886572509248</v>
      </c>
      <c r="L98">
        <f>P98/(1+(Gam-1)/2*F98^2)</f>
        <v>604.60158169478746</v>
      </c>
      <c r="M98">
        <f>L98/1.8</f>
        <v>335.88976760821527</v>
      </c>
      <c r="N98">
        <f>L98-'Example 7.1 - Pipe P1'!$C$8</f>
        <v>144.93158169478744</v>
      </c>
      <c r="O98">
        <f>M98-'Example 7.1 - Pipe P1'!$C$9</f>
        <v>62.739767608215288</v>
      </c>
      <c r="P98">
        <f>P97</f>
        <v>659.67000000000007</v>
      </c>
      <c r="Q98">
        <f>Q97</f>
        <v>366.48333333333335</v>
      </c>
      <c r="R98">
        <f>P98-'Example 7.1 - Pipe P1'!$C$8</f>
        <v>200.00000000000006</v>
      </c>
      <c r="S98">
        <f>Q98-'Example 7.1 - Pipe P1'!$C$9</f>
        <v>93.333333333333371</v>
      </c>
      <c r="T98">
        <f>H98/L98/Rg/Z*144</f>
        <v>0.37188836738097036</v>
      </c>
      <c r="U98">
        <f>T98*16.01846</f>
        <v>5.9570789373573785</v>
      </c>
      <c r="V98">
        <f>(Gam*H98/T98*gc*144)^0.5</f>
        <v>1205.3983935215335</v>
      </c>
      <c r="W98">
        <f>V98/3.28</f>
        <v>367.49951021997975</v>
      </c>
      <c r="X98">
        <f>F98*V98</f>
        <v>813.45263885103566</v>
      </c>
      <c r="Y98">
        <f>X98/3.28</f>
        <v>248.00385330824258</v>
      </c>
      <c r="AA98">
        <f>D98/$D$131</f>
        <v>0.9564137723470133</v>
      </c>
      <c r="AB98">
        <f>F98</f>
        <v>0.67484131654975854</v>
      </c>
      <c r="AC98">
        <f>H98/$H$5</f>
        <v>0.21932042851738334</v>
      </c>
      <c r="AD98">
        <f>J98/$J$5</f>
        <v>0.28256562437455857</v>
      </c>
      <c r="AE98">
        <f>L98/$L$5</f>
        <v>0.93016486561996692</v>
      </c>
      <c r="AF98">
        <f>T98/$T$5</f>
        <v>0.23578661872076134</v>
      </c>
      <c r="AG98">
        <f>X98/$X$5</f>
        <v>2.3856315640463062</v>
      </c>
    </row>
    <row r="99" spans="1:33" x14ac:dyDescent="0.25">
      <c r="A99" s="30" t="s">
        <v>114</v>
      </c>
      <c r="B99">
        <v>8.7266462599716474E-2</v>
      </c>
      <c r="C99">
        <v>20.833333333333332</v>
      </c>
      <c r="D99">
        <f>(1/Gam*(1/M_3^2-1/F99^2)+(Gam+1)/2/Gam*LN((M_3^2/F99^2)*(1+F99^2*(Gam-1)/2)/(1+M_3^2*(Gam-1)/2)))*C99+L</f>
        <v>120.02162882594563</v>
      </c>
      <c r="E99">
        <f>D99/3.28</f>
        <v>36.591960007910252</v>
      </c>
      <c r="F99">
        <f>F98+0.01</f>
        <v>0.68484131654975855</v>
      </c>
      <c r="G99">
        <f>(Gam/Z/Rg)^0.5*F99*(1+F99^2*(Gam-1)/2)^(-(Gam+1)/2/(Gam-1))</f>
        <v>8.4773277574950068E-2</v>
      </c>
      <c r="H99">
        <f>J99/(1+(Gam-1)/2*F99^2)^(Gam/(Gam-1))</f>
        <v>81.987831692534542</v>
      </c>
      <c r="I99" s="21">
        <f>H99*6.89476</f>
        <v>565.28642244041941</v>
      </c>
      <c r="J99">
        <f>mdot*P99^0.5/B99/G99/gc^0.5/144</f>
        <v>112.21069128071095</v>
      </c>
      <c r="K99" s="21">
        <f>J99*6.89476</f>
        <v>773.66578581459453</v>
      </c>
      <c r="L99">
        <f>P99/(1+(Gam-1)/2*F99^2)</f>
        <v>603.09844561167472</v>
      </c>
      <c r="M99">
        <f>L99/1.8</f>
        <v>335.05469200648594</v>
      </c>
      <c r="N99">
        <f>L99-'Example 7.1 - Pipe P1'!$C$8</f>
        <v>143.4284456116747</v>
      </c>
      <c r="O99">
        <f>M99-'Example 7.1 - Pipe P1'!$C$9</f>
        <v>61.904692006485959</v>
      </c>
      <c r="P99">
        <f>P98</f>
        <v>659.67000000000007</v>
      </c>
      <c r="Q99">
        <f>Q98</f>
        <v>366.48333333333335</v>
      </c>
      <c r="R99">
        <f>P99-'Example 7.1 - Pipe P1'!$C$8</f>
        <v>200.00000000000006</v>
      </c>
      <c r="S99">
        <f>Q99-'Example 7.1 - Pipe P1'!$C$9</f>
        <v>93.333333333333371</v>
      </c>
      <c r="T99">
        <f>H99/L99/Rg/Z*144</f>
        <v>0.36691446999192645</v>
      </c>
      <c r="U99">
        <f>T99*16.01846</f>
        <v>5.8774047609868747</v>
      </c>
      <c r="V99">
        <f>(Gam*H99/T99*gc*144)^0.5</f>
        <v>1203.8990545922286</v>
      </c>
      <c r="W99">
        <f>V99/3.28</f>
        <v>367.04239469275262</v>
      </c>
      <c r="X99">
        <f>F99*V99</f>
        <v>824.47981353995146</v>
      </c>
      <c r="Y99">
        <f>X99/3.28</f>
        <v>251.36579681096083</v>
      </c>
      <c r="AA99">
        <f>D99/$D$131</f>
        <v>0.96014489018534432</v>
      </c>
      <c r="AB99">
        <f>F99</f>
        <v>0.68484131654975855</v>
      </c>
      <c r="AC99">
        <f>H99/$H$5</f>
        <v>0.21584910953549502</v>
      </c>
      <c r="AD99">
        <f>J99/$J$5</f>
        <v>0.28052672820177738</v>
      </c>
      <c r="AE99">
        <f>L99/$L$5</f>
        <v>0.92785232722263455</v>
      </c>
      <c r="AF99">
        <f>T99/$T$5</f>
        <v>0.23263304213678268</v>
      </c>
      <c r="AG99">
        <f>X99/$X$5</f>
        <v>2.4179712169574912</v>
      </c>
    </row>
    <row r="100" spans="1:33" x14ac:dyDescent="0.25">
      <c r="A100" s="30" t="s">
        <v>114</v>
      </c>
      <c r="B100">
        <v>8.7266462599716474E-2</v>
      </c>
      <c r="C100">
        <v>20.833333333333332</v>
      </c>
      <c r="D100">
        <f>(1/Gam*(1/M_3^2-1/F100^2)+(Gam+1)/2/Gam*LN((M_3^2/F100^2)*(1+F100^2*(Gam-1)/2)/(1+M_3^2*(Gam-1)/2)))*C100+L</f>
        <v>120.45558420384094</v>
      </c>
      <c r="E100">
        <f>D100/3.28</f>
        <v>36.724263476780777</v>
      </c>
      <c r="F100">
        <f>F99+0.01</f>
        <v>0.69484131654975856</v>
      </c>
      <c r="G100">
        <f>(Gam/Z/Rg)^0.5*F100*(1+F100^2*(Gam-1)/2)^(-(Gam+1)/2/(Gam-1))</f>
        <v>8.5363452579499649E-2</v>
      </c>
      <c r="H100">
        <f>J100/(1+(Gam-1)/2*F100^2)^(Gam/(Gam-1))</f>
        <v>80.706145492478726</v>
      </c>
      <c r="I100" s="21">
        <f>H100*6.89476</f>
        <v>556.44950369572257</v>
      </c>
      <c r="J100">
        <f>mdot*P100^0.5/B100/G100/gc^0.5/144</f>
        <v>111.43490324454372</v>
      </c>
      <c r="K100" s="21">
        <f>J100*6.89476</f>
        <v>768.31691349435027</v>
      </c>
      <c r="L100">
        <f>P100/(1+(Gam-1)/2*F100^2)</f>
        <v>601.58081999095248</v>
      </c>
      <c r="M100">
        <f>L100/1.8</f>
        <v>334.21156666164023</v>
      </c>
      <c r="N100">
        <f>L100-'Example 7.1 - Pipe P1'!$C$8</f>
        <v>141.91081999095246</v>
      </c>
      <c r="O100">
        <f>M100-'Example 7.1 - Pipe P1'!$C$9</f>
        <v>61.061566661640256</v>
      </c>
      <c r="P100">
        <f>P99</f>
        <v>659.67000000000007</v>
      </c>
      <c r="Q100">
        <f>Q99</f>
        <v>366.48333333333335</v>
      </c>
      <c r="R100">
        <f>P100-'Example 7.1 - Pipe P1'!$C$8</f>
        <v>200.00000000000006</v>
      </c>
      <c r="S100">
        <f>Q100-'Example 7.1 - Pipe P1'!$C$9</f>
        <v>93.333333333333371</v>
      </c>
      <c r="T100">
        <f>H100/L100/Rg/Z*144</f>
        <v>0.3620897843719984</v>
      </c>
      <c r="U100">
        <f>T100*16.01846</f>
        <v>5.8001207273714819</v>
      </c>
      <c r="V100">
        <f>(Gam*H100/T100*gc*144)^0.5</f>
        <v>1202.3833659748029</v>
      </c>
      <c r="W100">
        <f>V100/3.28</f>
        <v>366.58029450451312</v>
      </c>
      <c r="X100">
        <f>F100*V100</f>
        <v>835.46564101146225</v>
      </c>
      <c r="Y100">
        <f>X100/3.28</f>
        <v>254.7151344547141</v>
      </c>
      <c r="AA100">
        <f>D100/$D$131</f>
        <v>0.96361643146278253</v>
      </c>
      <c r="AB100">
        <f>F100</f>
        <v>0.69484131654975856</v>
      </c>
      <c r="AC100">
        <f>H100/$H$5</f>
        <v>0.21247481826232831</v>
      </c>
      <c r="AD100">
        <f>J100/$J$5</f>
        <v>0.27858725811135931</v>
      </c>
      <c r="AE100">
        <f>L100/$L$5</f>
        <v>0.92551749702321051</v>
      </c>
      <c r="AF100">
        <f>T100/$T$5</f>
        <v>0.22957406958347304</v>
      </c>
      <c r="AG100">
        <f>X100/$X$5</f>
        <v>2.4501896099179237</v>
      </c>
    </row>
    <row r="101" spans="1:33" x14ac:dyDescent="0.25">
      <c r="A101" s="30" t="s">
        <v>114</v>
      </c>
      <c r="B101">
        <v>8.7266462599716474E-2</v>
      </c>
      <c r="C101">
        <v>20.833333333333332</v>
      </c>
      <c r="D101">
        <f>(1/Gam*(1/M_3^2-1/F101^2)+(Gam+1)/2/Gam*LN((M_3^2/F101^2)*(1+F101^2*(Gam-1)/2)/(1+M_3^2*(Gam-1)/2)))*C101+L</f>
        <v>120.85915745737414</v>
      </c>
      <c r="E101">
        <f>D101/3.28</f>
        <v>36.847304102857969</v>
      </c>
      <c r="F101">
        <f>F100+0.01</f>
        <v>0.70484131654975857</v>
      </c>
      <c r="G101">
        <f>(Gam/Z/Rg)^0.5*F101*(1+F101^2*(Gam-1)/2)^(-(Gam+1)/2/(Gam-1))</f>
        <v>8.5932184449167198E-2</v>
      </c>
      <c r="H101">
        <f>J101/(1+(Gam-1)/2*F101^2)^(Gam/(Gam-1))</f>
        <v>79.459759615307419</v>
      </c>
      <c r="I101" s="21">
        <f>H101*6.89476</f>
        <v>547.85597220523698</v>
      </c>
      <c r="J101">
        <f>mdot*P101^0.5/B101/G101/gc^0.5/144</f>
        <v>110.6973846852898</v>
      </c>
      <c r="K101" s="21">
        <f>J101*6.89476</f>
        <v>763.23190003274874</v>
      </c>
      <c r="L101">
        <f>P101/(1+(Gam-1)/2*F101^2)</f>
        <v>600.04897959319499</v>
      </c>
      <c r="M101">
        <f>L101/1.8</f>
        <v>333.36054421844165</v>
      </c>
      <c r="N101">
        <f>L101-'Example 7.1 - Pipe P1'!$C$8</f>
        <v>140.37897959319497</v>
      </c>
      <c r="O101">
        <f>M101-'Example 7.1 - Pipe P1'!$C$9</f>
        <v>60.210544218441669</v>
      </c>
      <c r="P101">
        <f>P100</f>
        <v>659.67000000000007</v>
      </c>
      <c r="Q101">
        <f>Q100</f>
        <v>366.48333333333335</v>
      </c>
      <c r="R101">
        <f>P101-'Example 7.1 - Pipe P1'!$C$8</f>
        <v>200.00000000000006</v>
      </c>
      <c r="S101">
        <f>Q101-'Example 7.1 - Pipe P1'!$C$9</f>
        <v>93.333333333333371</v>
      </c>
      <c r="T101">
        <f>H101/L101/Rg/Z*144</f>
        <v>0.35740793717439595</v>
      </c>
      <c r="U101">
        <f>T101*16.01846</f>
        <v>5.7251247453105751</v>
      </c>
      <c r="V101">
        <f>(Gam*H101/T101*gc*144)^0.5</f>
        <v>1200.8515406937224</v>
      </c>
      <c r="W101">
        <f>V101/3.28</f>
        <v>366.11327460174465</v>
      </c>
      <c r="X101">
        <f>F101*V101</f>
        <v>846.40978092336934</v>
      </c>
      <c r="Y101">
        <f>X101/3.28</f>
        <v>258.05176247663701</v>
      </c>
      <c r="AA101">
        <f>D101/$D$131</f>
        <v>0.9668449228687549</v>
      </c>
      <c r="AB101">
        <f>F101</f>
        <v>0.70484131654975857</v>
      </c>
      <c r="AC101">
        <f>H101/$H$5</f>
        <v>0.20919346203944458</v>
      </c>
      <c r="AD101">
        <f>J101/$J$5</f>
        <v>0.2767434617132245</v>
      </c>
      <c r="AE101">
        <f>L101/$L$5</f>
        <v>0.92316079773417259</v>
      </c>
      <c r="AF101">
        <f>T101/$T$5</f>
        <v>0.2266056601979784</v>
      </c>
      <c r="AG101">
        <f>X101/$X$5</f>
        <v>2.4822857447980828</v>
      </c>
    </row>
    <row r="102" spans="1:33" x14ac:dyDescent="0.25">
      <c r="A102" s="30" t="s">
        <v>114</v>
      </c>
      <c r="B102">
        <v>8.7266462599716474E-2</v>
      </c>
      <c r="C102">
        <v>20.833333333333332</v>
      </c>
      <c r="D102">
        <f>(1/Gam*(1/M_3^2-1/F102^2)+(Gam+1)/2/Gam*LN((M_3^2/F102^2)*(1+F102^2*(Gam-1)/2)/(1+M_3^2*(Gam-1)/2)))*C102+L</f>
        <v>121.23426475546128</v>
      </c>
      <c r="E102">
        <f>D102/3.28</f>
        <v>36.961666083982102</v>
      </c>
      <c r="F102">
        <f>F101+0.01</f>
        <v>0.71484131654975858</v>
      </c>
      <c r="G102">
        <f>(Gam/Z/Rg)^0.5*F102*(1+F102^2*(Gam-1)/2)^(-(Gam+1)/2/(Gam-1))</f>
        <v>8.6479559512886606E-2</v>
      </c>
      <c r="H102">
        <f>J102/(1+(Gam-1)/2*F102^2)^(Gam/(Gam-1))</f>
        <v>78.247206547644012</v>
      </c>
      <c r="I102" s="21">
        <f>H102*6.89476</f>
        <v>539.49570981643399</v>
      </c>
      <c r="J102">
        <f>mdot*P102^0.5/B102/G102/gc^0.5/144</f>
        <v>109.99672214333208</v>
      </c>
      <c r="K102" s="21">
        <f>J102*6.89476</f>
        <v>758.40099996496031</v>
      </c>
      <c r="L102">
        <f>P102/(1+(Gam-1)/2*F102^2)</f>
        <v>598.50319950278879</v>
      </c>
      <c r="M102">
        <f>L102/1.8</f>
        <v>332.50177750154933</v>
      </c>
      <c r="N102">
        <f>L102-'Example 7.1 - Pipe P1'!$C$8</f>
        <v>138.83319950278877</v>
      </c>
      <c r="O102">
        <f>M102-'Example 7.1 - Pipe P1'!$C$9</f>
        <v>59.35177750154935</v>
      </c>
      <c r="P102">
        <f>P101</f>
        <v>659.67000000000007</v>
      </c>
      <c r="Q102">
        <f>Q101</f>
        <v>366.48333333333335</v>
      </c>
      <c r="R102">
        <f>P102-'Example 7.1 - Pipe P1'!$C$8</f>
        <v>200.00000000000006</v>
      </c>
      <c r="S102">
        <f>Q102-'Example 7.1 - Pipe P1'!$C$9</f>
        <v>93.333333333333371</v>
      </c>
      <c r="T102">
        <f>H102/L102/Rg/Z*144</f>
        <v>0.35286291150306398</v>
      </c>
      <c r="U102">
        <f>T102*16.01846</f>
        <v>5.6523204333953707</v>
      </c>
      <c r="V102">
        <f>(Gam*H102/T102*gc*144)^0.5</f>
        <v>1199.3037925291098</v>
      </c>
      <c r="W102">
        <f>V102/3.28</f>
        <v>365.64140016131398</v>
      </c>
      <c r="X102">
        <f>F102*V102</f>
        <v>857.31190199462742</v>
      </c>
      <c r="Y102">
        <f>X102/3.28</f>
        <v>261.37557987641082</v>
      </c>
      <c r="AA102">
        <f>D102/$D$131</f>
        <v>0.96984569330532255</v>
      </c>
      <c r="AB102">
        <f>F102</f>
        <v>0.71484131654975858</v>
      </c>
      <c r="AC102">
        <f>H102/$H$5</f>
        <v>0.20600117734894077</v>
      </c>
      <c r="AD102">
        <f>J102/$J$5</f>
        <v>0.27499180535833018</v>
      </c>
      <c r="AE102">
        <f>L102/$L$5</f>
        <v>0.92078265256617575</v>
      </c>
      <c r="AF102">
        <f>T102/$T$5</f>
        <v>0.22372399911621457</v>
      </c>
      <c r="AG102">
        <f>X102/$X$5</f>
        <v>2.5142586500423065</v>
      </c>
    </row>
    <row r="103" spans="1:33" x14ac:dyDescent="0.25">
      <c r="A103" s="30" t="s">
        <v>114</v>
      </c>
      <c r="B103">
        <v>8.7266462599716474E-2</v>
      </c>
      <c r="C103">
        <v>20.833333333333332</v>
      </c>
      <c r="D103">
        <f>(1/Gam*(1/M_3^2-1/F103^2)+(Gam+1)/2/Gam*LN((M_3^2/F103^2)*(1+F103^2*(Gam-1)/2)/(1+M_3^2*(Gam-1)/2)))*C103+L</f>
        <v>121.58268509094628</v>
      </c>
      <c r="E103">
        <f>D103/3.28</f>
        <v>37.067891796020213</v>
      </c>
      <c r="F103">
        <f>F102+0.01</f>
        <v>0.72484131654975859</v>
      </c>
      <c r="G103">
        <f>(Gam/Z/Rg)^0.5*F103*(1+F103^2*(Gam-1)/2)^(-(Gam+1)/2/(Gam-1))</f>
        <v>8.7005673575946935E-2</v>
      </c>
      <c r="H103">
        <f>J103/(1+(Gam-1)/2*F103^2)^(Gam/(Gam-1))</f>
        <v>77.067099804174049</v>
      </c>
      <c r="I103" s="21">
        <f>H103*6.89476</f>
        <v>531.35915704582703</v>
      </c>
      <c r="J103">
        <f>mdot*P103^0.5/B103/G103/gc^0.5/144</f>
        <v>109.33158365256881</v>
      </c>
      <c r="K103" s="21">
        <f>J103*6.89476</f>
        <v>753.81502970438532</v>
      </c>
      <c r="L103">
        <f>P103/(1+(Gam-1)/2*F103^2)</f>
        <v>596.94375502426135</v>
      </c>
      <c r="M103">
        <f>L103/1.8</f>
        <v>331.63541945792298</v>
      </c>
      <c r="N103">
        <f>L103-'Example 7.1 - Pipe P1'!$C$8</f>
        <v>137.27375502426133</v>
      </c>
      <c r="O103">
        <f>M103-'Example 7.1 - Pipe P1'!$C$9</f>
        <v>58.485419457923001</v>
      </c>
      <c r="P103">
        <f>P102</f>
        <v>659.67000000000007</v>
      </c>
      <c r="Q103">
        <f>Q102</f>
        <v>366.48333333333335</v>
      </c>
      <c r="R103">
        <f>P103-'Example 7.1 - Pipe P1'!$C$8</f>
        <v>200.00000000000006</v>
      </c>
      <c r="S103">
        <f>Q103-'Example 7.1 - Pipe P1'!$C$9</f>
        <v>93.333333333333371</v>
      </c>
      <c r="T103">
        <f>H103/L103/Rg/Z*144</f>
        <v>0.34844902232925801</v>
      </c>
      <c r="U103">
        <f>T103*16.01846</f>
        <v>5.5816167262203269</v>
      </c>
      <c r="V103">
        <f>(Gam*H103/T103*gc*144)^0.5</f>
        <v>1197.7403359461841</v>
      </c>
      <c r="W103">
        <f>V103/3.28</f>
        <v>365.16473656895857</v>
      </c>
      <c r="X103">
        <f>F103*V103</f>
        <v>868.17168199198227</v>
      </c>
      <c r="Y103">
        <f>X103/3.28</f>
        <v>264.6864884121897</v>
      </c>
      <c r="AA103">
        <f>D103/$D$131</f>
        <v>0.972632974298132</v>
      </c>
      <c r="AB103">
        <f>F103</f>
        <v>0.72484131654975859</v>
      </c>
      <c r="AC103">
        <f>H103/$H$5</f>
        <v>0.20289431399524122</v>
      </c>
      <c r="AD103">
        <f>J103/$J$5</f>
        <v>0.27332895913142202</v>
      </c>
      <c r="AE103">
        <f>L103/$L$5</f>
        <v>0.9183834850685566</v>
      </c>
      <c r="AF103">
        <f>T103/$T$5</f>
        <v>0.2209254818863553</v>
      </c>
      <c r="AG103">
        <f>X103/$X$5</f>
        <v>2.5461073806295982</v>
      </c>
    </row>
    <row r="104" spans="1:33" x14ac:dyDescent="0.25">
      <c r="A104" s="30" t="s">
        <v>114</v>
      </c>
      <c r="B104">
        <v>8.7266462599716474E-2</v>
      </c>
      <c r="C104">
        <v>20.833333333333332</v>
      </c>
      <c r="D104">
        <f>(1/Gam*(1/M_3^2-1/F104^2)+(Gam+1)/2/Gam*LN((M_3^2/F104^2)*(1+F104^2*(Gam-1)/2)/(1+M_3^2*(Gam-1)/2)))*C104+L</f>
        <v>121.90607163167947</v>
      </c>
      <c r="E104">
        <f>D104/3.28</f>
        <v>37.166485253560815</v>
      </c>
      <c r="F104">
        <f>F103+0.01</f>
        <v>0.73484131654975859</v>
      </c>
      <c r="G104">
        <f>(Gam/Z/Rg)^0.5*F104*(1+F104^2*(Gam-1)/2)^(-(Gam+1)/2/(Gam-1))</f>
        <v>8.7510631681453246E-2</v>
      </c>
      <c r="H104">
        <f>J104/(1+(Gam-1)/2*F104^2)^(Gam/(Gam-1))</f>
        <v>75.91812840990616</v>
      </c>
      <c r="I104" s="21">
        <f>H104*6.89476</f>
        <v>523.43727503548462</v>
      </c>
      <c r="J104">
        <f>mdot*P104^0.5/B104/G104/gc^0.5/144</f>
        <v>108.70071322811378</v>
      </c>
      <c r="K104" s="21">
        <f>J104*6.89476</f>
        <v>749.46532953666974</v>
      </c>
      <c r="L104">
        <f>P104/(1+(Gam-1)/2*F104^2)</f>
        <v>595.37092158007204</v>
      </c>
      <c r="M104">
        <f>L104/1.8</f>
        <v>330.76162310004003</v>
      </c>
      <c r="N104">
        <f>L104-'Example 7.1 - Pipe P1'!$C$8</f>
        <v>135.70092158007202</v>
      </c>
      <c r="O104">
        <f>M104-'Example 7.1 - Pipe P1'!$C$9</f>
        <v>57.611623100040049</v>
      </c>
      <c r="P104">
        <f>P103</f>
        <v>659.67000000000007</v>
      </c>
      <c r="Q104">
        <f>Q103</f>
        <v>366.48333333333335</v>
      </c>
      <c r="R104">
        <f>P104-'Example 7.1 - Pipe P1'!$C$8</f>
        <v>200.00000000000006</v>
      </c>
      <c r="S104">
        <f>Q104-'Example 7.1 - Pipe P1'!$C$9</f>
        <v>93.333333333333371</v>
      </c>
      <c r="T104">
        <f>H104/L104/Rg/Z*144</f>
        <v>0.34416089391535609</v>
      </c>
      <c r="U104">
        <f>T104*16.01846</f>
        <v>5.5129275127473756</v>
      </c>
      <c r="V104">
        <f>(Gam*H104/T104*gc*144)^0.5</f>
        <v>1196.1613860253715</v>
      </c>
      <c r="W104">
        <f>V104/3.28</f>
        <v>364.68334939797916</v>
      </c>
      <c r="X104">
        <f>F104*V104</f>
        <v>878.98880771286804</v>
      </c>
      <c r="Y104">
        <f>X104/3.28</f>
        <v>267.98439259538662</v>
      </c>
      <c r="AA104">
        <f>D104/$D$131</f>
        <v>0.97521999080238198</v>
      </c>
      <c r="AB104">
        <f>F104</f>
        <v>0.73484131654975859</v>
      </c>
      <c r="AC104">
        <f>H104/$H$5</f>
        <v>0.19986942057856286</v>
      </c>
      <c r="AD104">
        <f>J104/$J$5</f>
        <v>0.27175178307028447</v>
      </c>
      <c r="AE104">
        <f>L104/$L$5</f>
        <v>0.91596371897208695</v>
      </c>
      <c r="AF104">
        <f>T104/$T$5</f>
        <v>0.21820670015495852</v>
      </c>
      <c r="AG104">
        <f>X104/$X$5</f>
        <v>2.5778310180234749</v>
      </c>
    </row>
    <row r="105" spans="1:33" x14ac:dyDescent="0.25">
      <c r="A105" s="30" t="s">
        <v>114</v>
      </c>
      <c r="B105">
        <v>8.7266462599716474E-2</v>
      </c>
      <c r="C105">
        <v>20.833333333333332</v>
      </c>
      <c r="D105">
        <f>(1/Gam*(1/M_3^2-1/F105^2)+(Gam+1)/2/Gam*LN((M_3^2/F105^2)*(1+F105^2*(Gam-1)/2)/(1+M_3^2*(Gam-1)/2)))*C105+L</f>
        <v>122.20596199991185</v>
      </c>
      <c r="E105">
        <f>D105/3.28</f>
        <v>37.257915243875566</v>
      </c>
      <c r="F105">
        <f>F104+0.01</f>
        <v>0.7448413165497586</v>
      </c>
      <c r="G105">
        <f>(Gam/Z/Rg)^0.5*F105*(1+F105^2*(Gam-1)/2)^(-(Gam+1)/2/(Gam-1))</f>
        <v>8.7994547867729381E-2</v>
      </c>
      <c r="H105">
        <f>J105/(1+(Gam-1)/2*F105^2)^(Gam/(Gam-1))</f>
        <v>74.799051826954269</v>
      </c>
      <c r="I105" s="21">
        <f>H105*6.89476</f>
        <v>515.72151057441124</v>
      </c>
      <c r="J105">
        <f>mdot*P105^0.5/B105/G105/gc^0.5/144</f>
        <v>108.10292579848901</v>
      </c>
      <c r="K105" s="21">
        <f>J105*6.89476</f>
        <v>745.34372867839011</v>
      </c>
      <c r="L105">
        <f>P105/(1+(Gam-1)/2*F105^2)</f>
        <v>593.78497460991798</v>
      </c>
      <c r="M105">
        <f>L105/1.8</f>
        <v>329.88054144995442</v>
      </c>
      <c r="N105">
        <f>L105-'Example 7.1 - Pipe P1'!$C$8</f>
        <v>134.11497460991797</v>
      </c>
      <c r="O105">
        <f>M105-'Example 7.1 - Pipe P1'!$C$9</f>
        <v>56.730541449954444</v>
      </c>
      <c r="P105">
        <f>P104</f>
        <v>659.67000000000007</v>
      </c>
      <c r="Q105">
        <f>Q104</f>
        <v>366.48333333333335</v>
      </c>
      <c r="R105">
        <f>P105-'Example 7.1 - Pipe P1'!$C$8</f>
        <v>200.00000000000006</v>
      </c>
      <c r="S105">
        <f>Q105-'Example 7.1 - Pipe P1'!$C$9</f>
        <v>93.333333333333371</v>
      </c>
      <c r="T105">
        <f>H105/L105/Rg/Z*144</f>
        <v>0.33999343905726548</v>
      </c>
      <c r="U105">
        <f>T105*16.01846</f>
        <v>5.4461713038012451</v>
      </c>
      <c r="V105">
        <f>(Gam*H105/T105*gc*144)^0.5</f>
        <v>1194.5671583931348</v>
      </c>
      <c r="W105">
        <f>V105/3.28</f>
        <v>364.19730438815088</v>
      </c>
      <c r="X105">
        <f>F105*V105</f>
        <v>889.76297496464656</v>
      </c>
      <c r="Y105">
        <f>X105/3.28</f>
        <v>271.2691996843435</v>
      </c>
      <c r="AA105">
        <f>D105/$D$131</f>
        <v>0.97761904343556771</v>
      </c>
      <c r="AB105">
        <f>F105</f>
        <v>0.7448413165497586</v>
      </c>
      <c r="AC105">
        <f>H105/$H$5</f>
        <v>0.19692323113867083</v>
      </c>
      <c r="AD105">
        <f>J105/$J$5</f>
        <v>0.27025731449622253</v>
      </c>
      <c r="AE105">
        <f>L105/$L$5</f>
        <v>0.91352377803405871</v>
      </c>
      <c r="AF105">
        <f>T105/$T$5</f>
        <v>0.21556442850612803</v>
      </c>
      <c r="AG105">
        <f>X105/$X$5</f>
        <v>2.6094286701110772</v>
      </c>
    </row>
    <row r="106" spans="1:33" x14ac:dyDescent="0.25">
      <c r="A106" s="30" t="s">
        <v>114</v>
      </c>
      <c r="B106">
        <v>8.7266462599716474E-2</v>
      </c>
      <c r="C106">
        <v>20.833333333333332</v>
      </c>
      <c r="D106">
        <f>(1/Gam*(1/M_3^2-1/F106^2)+(Gam+1)/2/Gam*LN((M_3^2/F106^2)*(1+F106^2*(Gam-1)/2)/(1+M_3^2*(Gam-1)/2)))*C106+L</f>
        <v>122.48378759363285</v>
      </c>
      <c r="E106">
        <f>D106/3.28</f>
        <v>37.342618168790509</v>
      </c>
      <c r="F106">
        <f>F105+0.01</f>
        <v>0.75484131654975861</v>
      </c>
      <c r="G106">
        <f>(Gam/Z/Rg)^0.5*F106*(1+F106^2*(Gam-1)/2)^(-(Gam+1)/2/(Gam-1))</f>
        <v>8.8457544922061634E-2</v>
      </c>
      <c r="H106">
        <f>J106/(1+(Gam-1)/2*F106^2)^(Gam/(Gam-1))</f>
        <v>73.708695284620077</v>
      </c>
      <c r="I106" s="21">
        <f>H106*6.89476</f>
        <v>508.20376390058709</v>
      </c>
      <c r="J106">
        <f>mdot*P106^0.5/B106/G106/gc^0.5/144</f>
        <v>107.53710254108913</v>
      </c>
      <c r="K106" s="21">
        <f>J106*6.89476</f>
        <v>741.44251311619962</v>
      </c>
      <c r="L106">
        <f>P106/(1+(Gam-1)/2*F106^2)</f>
        <v>592.18618947160314</v>
      </c>
      <c r="M106">
        <f>L106/1.8</f>
        <v>328.99232748422395</v>
      </c>
      <c r="N106">
        <f>L106-'Example 7.1 - Pipe P1'!$C$8</f>
        <v>132.51618947160313</v>
      </c>
      <c r="O106">
        <f>M106-'Example 7.1 - Pipe P1'!$C$9</f>
        <v>55.842327484223972</v>
      </c>
      <c r="P106">
        <f>P105</f>
        <v>659.67000000000007</v>
      </c>
      <c r="Q106">
        <f>Q105</f>
        <v>366.48333333333335</v>
      </c>
      <c r="R106">
        <f>P106-'Example 7.1 - Pipe P1'!$C$8</f>
        <v>200.00000000000006</v>
      </c>
      <c r="S106">
        <f>Q106-'Example 7.1 - Pipe P1'!$C$9</f>
        <v>93.333333333333371</v>
      </c>
      <c r="T106">
        <f>H106/L106/Rg/Z*144</f>
        <v>0.33594183997677396</v>
      </c>
      <c r="U106">
        <f>T106*16.01846</f>
        <v>5.3812709259943547</v>
      </c>
      <c r="V106">
        <f>(Gam*H106/T106*gc*144)^0.5</f>
        <v>1192.9578691535446</v>
      </c>
      <c r="W106">
        <f>V106/3.28</f>
        <v>363.70666742486117</v>
      </c>
      <c r="X106">
        <f>F106*V106</f>
        <v>900.49388854025631</v>
      </c>
      <c r="Y106">
        <f>X106/3.28</f>
        <v>274.5408196769074</v>
      </c>
      <c r="AA106">
        <f>D106/$D$131</f>
        <v>0.97984158304599722</v>
      </c>
      <c r="AB106">
        <f>F106</f>
        <v>0.75484131654975861</v>
      </c>
      <c r="AC106">
        <f>H106/$H$5</f>
        <v>0.19405265286040094</v>
      </c>
      <c r="AD106">
        <f>J106/$J$5</f>
        <v>0.26884275635272281</v>
      </c>
      <c r="AE106">
        <f>L106/$L$5</f>
        <v>0.91106408588577303</v>
      </c>
      <c r="AF106">
        <f>T106/$T$5</f>
        <v>0.21299561234678149</v>
      </c>
      <c r="AG106">
        <f>X106/$X$5</f>
        <v>2.6408994711317564</v>
      </c>
    </row>
    <row r="107" spans="1:33" x14ac:dyDescent="0.25">
      <c r="A107" s="30" t="s">
        <v>114</v>
      </c>
      <c r="B107">
        <v>8.7266462599716474E-2</v>
      </c>
      <c r="C107">
        <v>20.833333333333332</v>
      </c>
      <c r="D107">
        <f>(1/Gam*(1/M_3^2-1/F107^2)+(Gam+1)/2/Gam*LN((M_3^2/F107^2)*(1+F107^2*(Gam-1)/2)/(1+M_3^2*(Gam-1)/2)))*C107+L</f>
        <v>122.74088205013422</v>
      </c>
      <c r="E107">
        <f>D107/3.28</f>
        <v>37.421000625040925</v>
      </c>
      <c r="F107">
        <f>F106+0.01</f>
        <v>0.76484131654975862</v>
      </c>
      <c r="G107">
        <f>(Gam/Z/Rg)^0.5*F107*(1+F107^2*(Gam-1)/2)^(-(Gam+1)/2/(Gam-1))</f>
        <v>8.8899754131175887E-2</v>
      </c>
      <c r="H107">
        <f>J107/(1+(Gam-1)/2*F107^2)^(Gam/(Gam-1))</f>
        <v>72.645945475867151</v>
      </c>
      <c r="I107" s="21">
        <f>H107*6.89476</f>
        <v>500.87635902918976</v>
      </c>
      <c r="J107">
        <f>mdot*P107^0.5/B107/G107/gc^0.5/144</f>
        <v>107.00218658401049</v>
      </c>
      <c r="K107" s="21">
        <f>J107*6.89476</f>
        <v>737.75439597197214</v>
      </c>
      <c r="L107">
        <f>P107/(1+(Gam-1)/2*F107^2)</f>
        <v>590.57484134351728</v>
      </c>
      <c r="M107">
        <f>L107/1.8</f>
        <v>328.0971340797318</v>
      </c>
      <c r="N107">
        <f>L107-'Example 7.1 - Pipe P1'!$C$8</f>
        <v>130.90484134351726</v>
      </c>
      <c r="O107">
        <f>M107-'Example 7.1 - Pipe P1'!$C$9</f>
        <v>54.947134079731825</v>
      </c>
      <c r="P107">
        <f>P106</f>
        <v>659.67000000000007</v>
      </c>
      <c r="Q107">
        <f>Q106</f>
        <v>366.48333333333335</v>
      </c>
      <c r="R107">
        <f>P107-'Example 7.1 - Pipe P1'!$C$8</f>
        <v>200.00000000000006</v>
      </c>
      <c r="S107">
        <f>Q107-'Example 7.1 - Pipe P1'!$C$9</f>
        <v>93.333333333333371</v>
      </c>
      <c r="T107">
        <f>H107/L107/Rg/Z*144</f>
        <v>0.33200153071283878</v>
      </c>
      <c r="U107">
        <f>T107*16.01846</f>
        <v>5.3181532396623794</v>
      </c>
      <c r="V107">
        <f>(Gam*H107/T107*gc*144)^0.5</f>
        <v>1191.3337348206317</v>
      </c>
      <c r="W107">
        <f>V107/3.28</f>
        <v>363.2115045184853</v>
      </c>
      <c r="X107">
        <f>F107*V107</f>
        <v>911.18126219035298</v>
      </c>
      <c r="Y107">
        <f>X107/3.28</f>
        <v>277.79916530193691</v>
      </c>
      <c r="AA107">
        <f>D107/$D$131</f>
        <v>0.98189827841931809</v>
      </c>
      <c r="AB107">
        <f>F107</f>
        <v>0.76484131654975862</v>
      </c>
      <c r="AC107">
        <f>H107/$H$5</f>
        <v>0.19125475474378051</v>
      </c>
      <c r="AD107">
        <f>J107/$J$5</f>
        <v>0.26750546646002621</v>
      </c>
      <c r="AE107">
        <f>L107/$L$5</f>
        <v>0.90858506588250643</v>
      </c>
      <c r="AF107">
        <f>T107/$T$5</f>
        <v>0.21049735674228282</v>
      </c>
      <c r="AG107">
        <f>X107/$X$5</f>
        <v>2.6722425815953721</v>
      </c>
    </row>
    <row r="108" spans="1:33" x14ac:dyDescent="0.25">
      <c r="A108" s="30" t="s">
        <v>114</v>
      </c>
      <c r="B108">
        <v>8.7266462599716474E-2</v>
      </c>
      <c r="C108">
        <v>20.833333333333332</v>
      </c>
      <c r="D108">
        <f>(1/Gam*(1/M_3^2-1/F108^2)+(Gam+1)/2/Gam*LN((M_3^2/F108^2)*(1+F108^2*(Gam-1)/2)/(1+M_3^2*(Gam-1)/2)))*C108+L</f>
        <v>122.97848894045339</v>
      </c>
      <c r="E108">
        <f>D108/3.28</f>
        <v>37.493441750138231</v>
      </c>
      <c r="F108">
        <f>F107+0.01</f>
        <v>0.77484131654975863</v>
      </c>
      <c r="G108">
        <f>(Gam/Z/Rg)^0.5*F108*(1+F108^2*(Gam-1)/2)^(-(Gam+1)/2/(Gam-1))</f>
        <v>8.9321315028837611E-2</v>
      </c>
      <c r="H108">
        <f>J108/(1+(Gam-1)/2*F108^2)^(Gam/(Gam-1))</f>
        <v>71.609746587087798</v>
      </c>
      <c r="I108" s="21">
        <f>H108*6.89476</f>
        <v>493.73201637878947</v>
      </c>
      <c r="J108">
        <f>mdot*P108^0.5/B108/G108/gc^0.5/144</f>
        <v>106.49717904114617</v>
      </c>
      <c r="K108" s="21">
        <f>J108*6.89476</f>
        <v>734.27249016573296</v>
      </c>
      <c r="L108">
        <f>P108/(1+(Gam-1)/2*F108^2)</f>
        <v>588.95120512876588</v>
      </c>
      <c r="M108">
        <f>L108/1.8</f>
        <v>327.19511396042549</v>
      </c>
      <c r="N108">
        <f>L108-'Example 7.1 - Pipe P1'!$C$8</f>
        <v>129.28120512876586</v>
      </c>
      <c r="O108">
        <f>M108-'Example 7.1 - Pipe P1'!$C$9</f>
        <v>54.04511396042551</v>
      </c>
      <c r="P108">
        <f>P107</f>
        <v>659.67000000000007</v>
      </c>
      <c r="Q108">
        <f>Q107</f>
        <v>366.48333333333335</v>
      </c>
      <c r="R108">
        <f>P108-'Example 7.1 - Pipe P1'!$C$8</f>
        <v>200.00000000000006</v>
      </c>
      <c r="S108">
        <f>Q108-'Example 7.1 - Pipe P1'!$C$9</f>
        <v>93.333333333333371</v>
      </c>
      <c r="T108">
        <f>H108/L108/Rg/Z*144</f>
        <v>0.32816818087639493</v>
      </c>
      <c r="U108">
        <f>T108*16.01846</f>
        <v>5.2567488786412975</v>
      </c>
      <c r="V108">
        <f>(Gam*H108/T108*gc*144)^0.5</f>
        <v>1189.6949722515415</v>
      </c>
      <c r="W108">
        <f>V108/3.28</f>
        <v>362.71188178400655</v>
      </c>
      <c r="X108">
        <f>F108*V108</f>
        <v>921.82481859201289</v>
      </c>
      <c r="Y108">
        <f>X108/3.28</f>
        <v>281.04415200976007</v>
      </c>
      <c r="AA108">
        <f>D108/$D$131</f>
        <v>0.98379907783226084</v>
      </c>
      <c r="AB108">
        <f>F108</f>
        <v>0.77484131654975863</v>
      </c>
      <c r="AC108">
        <f>H108/$H$5</f>
        <v>0.18852675715160783</v>
      </c>
      <c r="AD108">
        <f>J108/$J$5</f>
        <v>0.26624294760286543</v>
      </c>
      <c r="AE108">
        <f>L108/$L$5</f>
        <v>0.90608714095601761</v>
      </c>
      <c r="AF108">
        <f>T108/$T$5</f>
        <v>0.20806691611658035</v>
      </c>
      <c r="AG108">
        <f>X108/$X$5</f>
        <v>2.7034571881905038</v>
      </c>
    </row>
    <row r="109" spans="1:33" x14ac:dyDescent="0.25">
      <c r="A109" s="30" t="s">
        <v>114</v>
      </c>
      <c r="B109">
        <v>8.7266462599716474E-2</v>
      </c>
      <c r="C109">
        <v>20.833333333333332</v>
      </c>
      <c r="D109">
        <f>(1/Gam*(1/M_3^2-1/F109^2)+(Gam+1)/2/Gam*LN((M_3^2/F109^2)*(1+F109^2*(Gam-1)/2)/(1+M_3^2*(Gam-1)/2)))*C109+L</f>
        <v>123.19776877319836</v>
      </c>
      <c r="E109">
        <f>D109/3.28</f>
        <v>37.560295357682428</v>
      </c>
      <c r="F109">
        <f>F108+0.01</f>
        <v>0.78484131654975864</v>
      </c>
      <c r="G109">
        <f>(Gam/Z/Rg)^0.5*F109*(1+F109^2*(Gam-1)/2)^(-(Gam+1)/2/(Gam-1))</f>
        <v>8.9722375140956823E-2</v>
      </c>
      <c r="H109">
        <f>J109/(1+(Gam-1)/2*F109^2)^(Gam/(Gam-1))</f>
        <v>70.599096631438442</v>
      </c>
      <c r="I109" s="21">
        <f>H109*6.89476</f>
        <v>486.76382749057649</v>
      </c>
      <c r="J109">
        <f>mdot*P109^0.5/B109/G109/gc^0.5/144</f>
        <v>106.02113535082343</v>
      </c>
      <c r="K109" s="21">
        <f>J109*6.89476</f>
        <v>730.99028317144337</v>
      </c>
      <c r="L109">
        <f>P109/(1+(Gam-1)/2*F109^2)</f>
        <v>587.31555536099518</v>
      </c>
      <c r="M109">
        <f>L109/1.8</f>
        <v>326.2864196449973</v>
      </c>
      <c r="N109">
        <f>L109-'Example 7.1 - Pipe P1'!$C$8</f>
        <v>127.64555536099516</v>
      </c>
      <c r="O109">
        <f>M109-'Example 7.1 - Pipe P1'!$C$9</f>
        <v>53.136419644997318</v>
      </c>
      <c r="P109">
        <f>P108</f>
        <v>659.67000000000007</v>
      </c>
      <c r="Q109">
        <f>Q108</f>
        <v>366.48333333333335</v>
      </c>
      <c r="R109">
        <f>P109-'Example 7.1 - Pipe P1'!$C$8</f>
        <v>200.00000000000006</v>
      </c>
      <c r="S109">
        <f>Q109-'Example 7.1 - Pipe P1'!$C$9</f>
        <v>93.333333333333371</v>
      </c>
      <c r="T109">
        <f>H109/L109/Rg/Z*144</f>
        <v>0.32443768064706896</v>
      </c>
      <c r="U109">
        <f>T109*16.01846</f>
        <v>5.1969920099378486</v>
      </c>
      <c r="V109">
        <f>(Gam*H109/T109*gc*144)^0.5</f>
        <v>1188.04179858053</v>
      </c>
      <c r="W109">
        <f>V109/3.28</f>
        <v>362.20786542089331</v>
      </c>
      <c r="X109">
        <f>F109*V109</f>
        <v>932.42428931408631</v>
      </c>
      <c r="Y109">
        <f>X109/3.28</f>
        <v>284.27569796161168</v>
      </c>
      <c r="AA109">
        <f>D109/$D$131</f>
        <v>0.98555326508159491</v>
      </c>
      <c r="AB109">
        <f>F109</f>
        <v>0.78484131654975864</v>
      </c>
      <c r="AC109">
        <f>H109/$H$5</f>
        <v>0.18586602215623577</v>
      </c>
      <c r="AD109">
        <f>J109/$J$5</f>
        <v>0.26505283837705856</v>
      </c>
      <c r="AE109">
        <f>L109/$L$5</f>
        <v>0.9035707334696611</v>
      </c>
      <c r="AF109">
        <f>T109/$T$5</f>
        <v>0.20570168473974432</v>
      </c>
      <c r="AG109">
        <f>X109/$X$5</f>
        <v>2.7345425036828463</v>
      </c>
    </row>
    <row r="110" spans="1:33" x14ac:dyDescent="0.25">
      <c r="A110" s="30" t="s">
        <v>114</v>
      </c>
      <c r="B110">
        <v>8.7266462599716474E-2</v>
      </c>
      <c r="C110">
        <v>20.833333333333332</v>
      </c>
      <c r="D110">
        <f>(1/Gam*(1/M_3^2-1/F110^2)+(Gam+1)/2/Gam*LN((M_3^2/F110^2)*(1+F110^2*(Gam-1)/2)/(1+M_3^2*(Gam-1)/2)))*C110+L</f>
        <v>123.39980537737728</v>
      </c>
      <c r="E110">
        <f>D110/3.28</f>
        <v>37.621891883346734</v>
      </c>
      <c r="F110">
        <f>F109+0.01</f>
        <v>0.79484131654975865</v>
      </c>
      <c r="G110">
        <f>(Gam/Z/Rg)^0.5*F110*(1+F110^2*(Gam-1)/2)^(-(Gam+1)/2/(Gam-1))</f>
        <v>9.0103089728574573E-2</v>
      </c>
      <c r="H110">
        <f>J110/(1+(Gam-1)/2*F110^2)^(Gam/(Gam-1))</f>
        <v>69.613044059010221</v>
      </c>
      <c r="I110" s="21">
        <f>H110*6.89476</f>
        <v>479.96523165630128</v>
      </c>
      <c r="J110">
        <f>mdot*P110^0.5/B110/G110/gc^0.5/144</f>
        <v>105.57316189125123</v>
      </c>
      <c r="K110" s="21">
        <f>J110*6.89476</f>
        <v>727.90161368132328</v>
      </c>
      <c r="L110">
        <f>P110/(1+(Gam-1)/2*F110^2)</f>
        <v>585.66816611194724</v>
      </c>
      <c r="M110">
        <f>L110/1.8</f>
        <v>325.37120339552627</v>
      </c>
      <c r="N110">
        <f>L110-'Example 7.1 - Pipe P1'!$C$8</f>
        <v>125.99816611194723</v>
      </c>
      <c r="O110">
        <f>M110-'Example 7.1 - Pipe P1'!$C$9</f>
        <v>52.221203395526288</v>
      </c>
      <c r="P110">
        <f>P109</f>
        <v>659.67000000000007</v>
      </c>
      <c r="Q110">
        <f>Q109</f>
        <v>366.48333333333335</v>
      </c>
      <c r="R110">
        <f>P110-'Example 7.1 - Pipe P1'!$C$8</f>
        <v>200.00000000000006</v>
      </c>
      <c r="S110">
        <f>Q110-'Example 7.1 - Pipe P1'!$C$9</f>
        <v>93.333333333333371</v>
      </c>
      <c r="T110">
        <f>H110/L110/Rg/Z*144</f>
        <v>0.32080612690242533</v>
      </c>
      <c r="U110">
        <f>T110*16.01846</f>
        <v>5.138820111541424</v>
      </c>
      <c r="V110">
        <f>(Gam*H110/T110*gc*144)^0.5</f>
        <v>1186.3744311538178</v>
      </c>
      <c r="W110">
        <f>V110/3.28</f>
        <v>361.69952169323716</v>
      </c>
      <c r="X110">
        <f>F110*V110</f>
        <v>942.97941477927156</v>
      </c>
      <c r="Y110">
        <f>X110/3.28</f>
        <v>287.49372401807062</v>
      </c>
      <c r="AA110">
        <f>D110/$D$131</f>
        <v>0.98716951054526958</v>
      </c>
      <c r="AB110">
        <f>F110</f>
        <v>0.79484131654975865</v>
      </c>
      <c r="AC110">
        <f>H110/$H$5</f>
        <v>0.18327004461517835</v>
      </c>
      <c r="AD110">
        <f>J110/$J$5</f>
        <v>0.26393290472812808</v>
      </c>
      <c r="AE110">
        <f>L110/$L$5</f>
        <v>0.90103626507616297</v>
      </c>
      <c r="AF110">
        <f>T110/$T$5</f>
        <v>0.20339918793355877</v>
      </c>
      <c r="AG110">
        <f>X110/$X$5</f>
        <v>2.7654977668039806</v>
      </c>
    </row>
    <row r="111" spans="1:33" x14ac:dyDescent="0.25">
      <c r="A111" s="30" t="s">
        <v>114</v>
      </c>
      <c r="B111">
        <v>8.7266462599716474E-2</v>
      </c>
      <c r="C111">
        <v>20.833333333333332</v>
      </c>
      <c r="D111">
        <f>(1/Gam*(1/M_3^2-1/F111^2)+(Gam+1)/2/Gam*LN((M_3^2/F111^2)*(1+F111^2*(Gam-1)/2)/(1+M_3^2*(Gam-1)/2)))*C111+L</f>
        <v>123.58561172607821</v>
      </c>
      <c r="E111">
        <f>D111/3.28</f>
        <v>37.678540160389701</v>
      </c>
      <c r="F111">
        <f>F110+0.01</f>
        <v>0.80484131654975866</v>
      </c>
      <c r="G111">
        <f>(Gam/Z/Rg)^0.5*F111*(1+F111^2*(Gam-1)/2)^(-(Gam+1)/2/(Gam-1))</f>
        <v>9.0463621529100494E-2</v>
      </c>
      <c r="H111">
        <f>J111/(1+(Gam-1)/2*F111^2)^(Gam/(Gam-1))</f>
        <v>68.650684619759218</v>
      </c>
      <c r="I111" s="21">
        <f>H111*6.89476</f>
        <v>473.32999428893106</v>
      </c>
      <c r="J111">
        <f>mdot*P111^0.5/B111/G111/gc^0.5/144</f>
        <v>105.15241284870241</v>
      </c>
      <c r="K111" s="21">
        <f>J111*6.89476</f>
        <v>725.00065001271946</v>
      </c>
      <c r="L111">
        <f>P111/(1+(Gam-1)/2*F111^2)</f>
        <v>584.00931090078359</v>
      </c>
      <c r="M111">
        <f>L111/1.8</f>
        <v>324.44961716710196</v>
      </c>
      <c r="N111">
        <f>L111-'Example 7.1 - Pipe P1'!$C$8</f>
        <v>124.33931090078357</v>
      </c>
      <c r="O111">
        <f>M111-'Example 7.1 - Pipe P1'!$C$9</f>
        <v>51.299617167101985</v>
      </c>
      <c r="P111">
        <f>P110</f>
        <v>659.67000000000007</v>
      </c>
      <c r="Q111">
        <f>Q110</f>
        <v>366.48333333333335</v>
      </c>
      <c r="R111">
        <f>P111-'Example 7.1 - Pipe P1'!$C$8</f>
        <v>200.00000000000006</v>
      </c>
      <c r="S111">
        <f>Q111-'Example 7.1 - Pipe P1'!$C$9</f>
        <v>93.333333333333371</v>
      </c>
      <c r="T111">
        <f>H111/L111/Rg/Z*144</f>
        <v>0.31726981038124263</v>
      </c>
      <c r="U111">
        <f>T111*16.01846</f>
        <v>5.0821737667995199</v>
      </c>
      <c r="V111">
        <f>(Gam*H111/T111*gc*144)^0.5</f>
        <v>1184.6930874653399</v>
      </c>
      <c r="W111">
        <f>V111/3.28</f>
        <v>361.1869169101646</v>
      </c>
      <c r="X111">
        <f>F111*V111</f>
        <v>953.48994422300257</v>
      </c>
      <c r="Y111">
        <f>X111/3.28</f>
        <v>290.69815372652516</v>
      </c>
      <c r="AA111">
        <f>D111/$D$131</f>
        <v>0.98865591777048656</v>
      </c>
      <c r="AB111">
        <f>F111</f>
        <v>0.80484131654975866</v>
      </c>
      <c r="AC111">
        <f>H111/$H$5</f>
        <v>0.18073644391215693</v>
      </c>
      <c r="AD111">
        <f>J111/$J$5</f>
        <v>0.26288103212175601</v>
      </c>
      <c r="AE111">
        <f>L111/$L$5</f>
        <v>0.89848415657811742</v>
      </c>
      <c r="AF111">
        <f>T111/$T$5</f>
        <v>0.2011570739327144</v>
      </c>
      <c r="AG111">
        <f>X111/$X$5</f>
        <v>2.7963222421308038</v>
      </c>
    </row>
    <row r="112" spans="1:33" x14ac:dyDescent="0.25">
      <c r="A112" s="30" t="s">
        <v>114</v>
      </c>
      <c r="B112">
        <v>8.7266462599716474E-2</v>
      </c>
      <c r="C112">
        <v>20.833333333333332</v>
      </c>
      <c r="D112">
        <f>(1/Gam*(1/M_3^2-1/F112^2)+(Gam+1)/2/Gam*LN((M_3^2/F112^2)*(1+F112^2*(Gam-1)/2)/(1+M_3^2*(Gam-1)/2)))*C112+L</f>
        <v>123.75613525601914</v>
      </c>
      <c r="E112">
        <f>D112/3.28</f>
        <v>37.730529041469254</v>
      </c>
      <c r="F112">
        <f>F111+0.01</f>
        <v>0.81484131654975867</v>
      </c>
      <c r="G112">
        <f>(Gam/Z/Rg)^0.5*F112*(1+F112^2*(Gam-1)/2)^(-(Gam+1)/2/(Gam-1))</f>
        <v>9.0804140496163616E-2</v>
      </c>
      <c r="H112">
        <f>J112/(1+(Gam-1)/2*F112^2)^(Gam/(Gam-1))</f>
        <v>67.711158457483904</v>
      </c>
      <c r="I112" s="21">
        <f>H112*6.89476</f>
        <v>466.8521868863217</v>
      </c>
      <c r="J112">
        <f>mdot*P112^0.5/B112/G112/gc^0.5/144</f>
        <v>104.75808731671913</v>
      </c>
      <c r="K112" s="21">
        <f>J112*6.89476</f>
        <v>722.28187010782233</v>
      </c>
      <c r="L112">
        <f>P112/(1+(Gam-1)/2*F112^2)</f>
        <v>582.33926260520855</v>
      </c>
      <c r="M112">
        <f>L112/1.8</f>
        <v>323.5218125584492</v>
      </c>
      <c r="N112">
        <f>L112-'Example 7.1 - Pipe P1'!$C$8</f>
        <v>122.66926260520853</v>
      </c>
      <c r="O112">
        <f>M112-'Example 7.1 - Pipe P1'!$C$9</f>
        <v>50.371812558449221</v>
      </c>
      <c r="P112">
        <f>P111</f>
        <v>659.67000000000007</v>
      </c>
      <c r="Q112">
        <f>Q111</f>
        <v>366.48333333333335</v>
      </c>
      <c r="R112">
        <f>P112-'Example 7.1 - Pipe P1'!$C$8</f>
        <v>200.00000000000006</v>
      </c>
      <c r="S112">
        <f>Q112-'Example 7.1 - Pipe P1'!$C$9</f>
        <v>93.333333333333371</v>
      </c>
      <c r="T112">
        <f>H112/L112/Rg/Z*144</f>
        <v>0.31382520379198936</v>
      </c>
      <c r="U112">
        <f>T112*16.01846</f>
        <v>5.0269964739338304</v>
      </c>
      <c r="V112">
        <f>(Gam*H112/T112*gc*144)^0.5</f>
        <v>1182.9979850934055</v>
      </c>
      <c r="W112">
        <f>V112/3.28</f>
        <v>360.67011740652612</v>
      </c>
      <c r="X112">
        <f>F112*V112</f>
        <v>963.95563564922236</v>
      </c>
      <c r="Y112">
        <f>X112/3.28</f>
        <v>293.88891330768973</v>
      </c>
      <c r="AA112">
        <f>D112/$D$131</f>
        <v>0.9900200660288524</v>
      </c>
      <c r="AB112">
        <f>F112</f>
        <v>0.81484131654975867</v>
      </c>
      <c r="AC112">
        <f>H112/$H$5</f>
        <v>0.17826295630642369</v>
      </c>
      <c r="AD112">
        <f>J112/$J$5</f>
        <v>0.26189521829179779</v>
      </c>
      <c r="AE112">
        <f>L112/$L$5</f>
        <v>0.89591482779125264</v>
      </c>
      <c r="AF112">
        <f>T112/$T$5</f>
        <v>0.19897310634528173</v>
      </c>
      <c r="AG112">
        <f>X112/$X$5</f>
        <v>2.8270152199558236</v>
      </c>
    </row>
    <row r="113" spans="1:33" x14ac:dyDescent="0.25">
      <c r="A113" s="30" t="s">
        <v>114</v>
      </c>
      <c r="B113">
        <v>8.7266462599716474E-2</v>
      </c>
      <c r="C113">
        <v>20.833333333333332</v>
      </c>
      <c r="D113">
        <f>(1/Gam*(1/M_3^2-1/F113^2)+(Gam+1)/2/Gam*LN((M_3^2/F113^2)*(1+F113^2*(Gam-1)/2)/(1+M_3^2*(Gam-1)/2)))*C113+L</f>
        <v>123.91226273198674</v>
      </c>
      <c r="E113">
        <f>D113/3.28</f>
        <v>37.778128881703275</v>
      </c>
      <c r="F113">
        <f>F112+0.01</f>
        <v>0.82484131654975867</v>
      </c>
      <c r="G113">
        <f>(Gam/Z/Rg)^0.5*F113*(1+F113^2*(Gam-1)/2)^(-(Gam+1)/2/(Gam-1))</f>
        <v>9.1124823538430474E-2</v>
      </c>
      <c r="H113">
        <f>J113/(1+(Gam-1)/2*F113^2)^(Gam/(Gam-1))</f>
        <v>66.793647415243115</v>
      </c>
      <c r="I113" s="21">
        <f>H113*6.89476</f>
        <v>460.52616845272161</v>
      </c>
      <c r="J113">
        <f>mdot*P113^0.5/B113/G113/gc^0.5/144</f>
        <v>104.38942660673581</v>
      </c>
      <c r="K113" s="21">
        <f>J113*6.89476</f>
        <v>719.74004299105775</v>
      </c>
      <c r="L113">
        <f>P113/(1+(Gam-1)/2*F113^2)</f>
        <v>580.65829337442392</v>
      </c>
      <c r="M113">
        <f>L113/1.8</f>
        <v>322.58794076356884</v>
      </c>
      <c r="N113">
        <f>L113-'Example 7.1 - Pipe P1'!$C$8</f>
        <v>120.9882933744239</v>
      </c>
      <c r="O113">
        <f>M113-'Example 7.1 - Pipe P1'!$C$9</f>
        <v>49.437940763568861</v>
      </c>
      <c r="P113">
        <f>P112</f>
        <v>659.67000000000007</v>
      </c>
      <c r="Q113">
        <f>Q112</f>
        <v>366.48333333333335</v>
      </c>
      <c r="R113">
        <f>P113-'Example 7.1 - Pipe P1'!$C$8</f>
        <v>200.00000000000006</v>
      </c>
      <c r="S113">
        <f>Q113-'Example 7.1 - Pipe P1'!$C$9</f>
        <v>93.333333333333371</v>
      </c>
      <c r="T113">
        <f>H113/L113/Rg/Z*144</f>
        <v>0.31046895078628084</v>
      </c>
      <c r="U113">
        <f>T113*16.01846</f>
        <v>4.9732344694120085</v>
      </c>
      <c r="V113">
        <f>(Gam*H113/T113*gc*144)^0.5</f>
        <v>1181.2893416382985</v>
      </c>
      <c r="W113">
        <f>V113/3.28</f>
        <v>360.14918952387154</v>
      </c>
      <c r="X113">
        <f>F113*V113</f>
        <v>974.3762557831318</v>
      </c>
      <c r="Y113">
        <f>X113/3.28</f>
        <v>297.06593164119874</v>
      </c>
      <c r="AA113">
        <f>D113/$D$131</f>
        <v>0.99126904923074866</v>
      </c>
      <c r="AB113">
        <f>F113</f>
        <v>0.82484131654975867</v>
      </c>
      <c r="AC113">
        <f>H113/$H$5</f>
        <v>0.17584742783874385</v>
      </c>
      <c r="AD113">
        <f>J113/$J$5</f>
        <v>0.26097356651683951</v>
      </c>
      <c r="AE113">
        <f>L113/$L$5</f>
        <v>0.89332869741051302</v>
      </c>
      <c r="AF113">
        <f>T113/$T$5</f>
        <v>0.19684515716160447</v>
      </c>
      <c r="AG113">
        <f>X113/$X$5</f>
        <v>2.8575760161485855</v>
      </c>
    </row>
    <row r="114" spans="1:33" x14ac:dyDescent="0.25">
      <c r="A114" s="30" t="s">
        <v>114</v>
      </c>
      <c r="B114">
        <v>8.7266462599716474E-2</v>
      </c>
      <c r="C114">
        <v>20.833333333333332</v>
      </c>
      <c r="D114">
        <f>(1/Gam*(1/M_3^2-1/F114^2)+(Gam+1)/2/Gam*LN((M_3^2/F114^2)*(1+F114^2*(Gam-1)/2)/(1+M_3^2*(Gam-1)/2)))*C114+L</f>
        <v>124.05482469990093</v>
      </c>
      <c r="E114">
        <f>D114/3.28</f>
        <v>37.821592896311266</v>
      </c>
      <c r="F114">
        <f>F113+0.01</f>
        <v>0.83484131654975868</v>
      </c>
      <c r="G114">
        <f>(Gam/Z/Rg)^0.5*F114*(1+F114^2*(Gam-1)/2)^(-(Gam+1)/2/(Gam-1))</f>
        <v>9.1425854257736611E-2</v>
      </c>
      <c r="H114">
        <f>J114/(1+(Gam-1)/2*F114^2)^(Gam/(Gam-1))</f>
        <v>65.897372534487701</v>
      </c>
      <c r="I114" s="21">
        <f>H114*6.89476</f>
        <v>454.34656825588439</v>
      </c>
      <c r="J114">
        <f>mdot*P114^0.5/B114/G114/gc^0.5/144</f>
        <v>104.04571175239282</v>
      </c>
      <c r="K114" s="21">
        <f>J114*6.89476</f>
        <v>717.37021156192793</v>
      </c>
      <c r="L114">
        <f>P114/(1+(Gam-1)/2*F114^2)</f>
        <v>578.96667454394333</v>
      </c>
      <c r="M114">
        <f>L114/1.8</f>
        <v>321.64815252441298</v>
      </c>
      <c r="N114">
        <f>L114-'Example 7.1 - Pipe P1'!$C$8</f>
        <v>119.29667454394331</v>
      </c>
      <c r="O114">
        <f>M114-'Example 7.1 - Pipe P1'!$C$9</f>
        <v>48.498152524413001</v>
      </c>
      <c r="P114">
        <f>P113</f>
        <v>659.67000000000007</v>
      </c>
      <c r="Q114">
        <f>Q113</f>
        <v>366.48333333333335</v>
      </c>
      <c r="R114">
        <f>P114-'Example 7.1 - Pipe P1'!$C$8</f>
        <v>200.00000000000006</v>
      </c>
      <c r="S114">
        <f>Q114-'Example 7.1 - Pipe P1'!$C$9</f>
        <v>93.333333333333371</v>
      </c>
      <c r="T114">
        <f>H114/L114/Rg/Z*144</f>
        <v>0.3071978557247943</v>
      </c>
      <c r="U114">
        <f>T114*16.01846</f>
        <v>4.9208365640133884</v>
      </c>
      <c r="V114">
        <f>(Gam*H114/T114*gc*144)^0.5</f>
        <v>1179.56737466084</v>
      </c>
      <c r="W114">
        <f>V114/3.28</f>
        <v>359.6241995917195</v>
      </c>
      <c r="X114">
        <f>F114*V114</f>
        <v>984.75158002099806</v>
      </c>
      <c r="Y114">
        <f>X114/3.28</f>
        <v>300.22914025030428</v>
      </c>
      <c r="AA114">
        <f>D114/$D$131</f>
        <v>0.99240951154880375</v>
      </c>
      <c r="AB114">
        <f>F114</f>
        <v>0.83484131654975868</v>
      </c>
      <c r="AC114">
        <f>H114/$H$5</f>
        <v>0.1734878077473675</v>
      </c>
      <c r="AD114">
        <f>J114/$J$5</f>
        <v>0.26011427938098203</v>
      </c>
      <c r="AE114">
        <f>L114/$L$5</f>
        <v>0.89072618287900374</v>
      </c>
      <c r="AF114">
        <f>T114/$T$5</f>
        <v>0.19477120026563097</v>
      </c>
      <c r="AG114">
        <f>X114/$X$5</f>
        <v>2.8880039720084731</v>
      </c>
    </row>
    <row r="115" spans="1:33" x14ac:dyDescent="0.25">
      <c r="A115" s="30" t="s">
        <v>114</v>
      </c>
      <c r="B115">
        <v>8.7266462599716474E-2</v>
      </c>
      <c r="C115">
        <v>20.833333333333332</v>
      </c>
      <c r="D115">
        <f>(1/Gam*(1/M_3^2-1/F115^2)+(Gam+1)/2/Gam*LN((M_3^2/F115^2)*(1+F115^2*(Gam-1)/2)/(1+M_3^2*(Gam-1)/2)))*C115+L</f>
        <v>124.18459956758198</v>
      </c>
      <c r="E115">
        <f>D115/3.28</f>
        <v>37.861158404750604</v>
      </c>
      <c r="F115">
        <f>F114+0.01</f>
        <v>0.84484131654975869</v>
      </c>
      <c r="G115">
        <f>(Gam/Z/Rg)^0.5*F115*(1+F115^2*(Gam-1)/2)^(-(Gam+1)/2/(Gam-1))</f>
        <v>9.170742268686885E-2</v>
      </c>
      <c r="H115">
        <f>J115/(1+(Gam-1)/2*F115^2)^(Gam/(Gam-1))</f>
        <v>65.021591731855651</v>
      </c>
      <c r="I115" s="21">
        <f>H115*6.89476</f>
        <v>448.30826980912906</v>
      </c>
      <c r="J115">
        <f>mdot*P115^0.5/B115/G115/gc^0.5/144</f>
        <v>103.72626119149226</v>
      </c>
      <c r="K115" s="21">
        <f>J115*6.89476</f>
        <v>715.16767661265317</v>
      </c>
      <c r="L115">
        <f>P115/(1+(Gam-1)/2*F115^2)</f>
        <v>577.26467655229021</v>
      </c>
      <c r="M115">
        <f>L115/1.8</f>
        <v>320.70259808460565</v>
      </c>
      <c r="N115">
        <f>L115-'Example 7.1 - Pipe P1'!$C$8</f>
        <v>117.5946765522902</v>
      </c>
      <c r="O115">
        <f>M115-'Example 7.1 - Pipe P1'!$C$9</f>
        <v>47.552598084605677</v>
      </c>
      <c r="P115">
        <f>P114</f>
        <v>659.67000000000007</v>
      </c>
      <c r="Q115">
        <f>Q114</f>
        <v>366.48333333333335</v>
      </c>
      <c r="R115">
        <f>P115-'Example 7.1 - Pipe P1'!$C$8</f>
        <v>200.00000000000006</v>
      </c>
      <c r="S115">
        <f>Q115-'Example 7.1 - Pipe P1'!$C$9</f>
        <v>93.333333333333371</v>
      </c>
      <c r="T115">
        <f>H115/L115/Rg/Z*144</f>
        <v>0.30400887416997507</v>
      </c>
      <c r="U115">
        <f>T115*16.01846</f>
        <v>4.869753990536779</v>
      </c>
      <c r="V115">
        <f>(Gam*H115/T115*gc*144)^0.5</f>
        <v>1177.8323016219272</v>
      </c>
      <c r="W115">
        <f>V115/3.28</f>
        <v>359.09521390912414</v>
      </c>
      <c r="X115">
        <f>F115*V115</f>
        <v>995.08139237710145</v>
      </c>
      <c r="Y115">
        <f>X115/3.28</f>
        <v>303.37847328570166</v>
      </c>
      <c r="AA115">
        <f>D115/$D$131</f>
        <v>0.99344768006307327</v>
      </c>
      <c r="AB115">
        <f>F115</f>
        <v>0.84484131654975869</v>
      </c>
      <c r="AC115">
        <f>H115/$H$5</f>
        <v>0.17118214235173512</v>
      </c>
      <c r="AD115">
        <f>J115/$J$5</f>
        <v>0.25931565297873066</v>
      </c>
      <c r="AE115">
        <f>L115/$L$5</f>
        <v>0.8881077002598321</v>
      </c>
      <c r="AF115">
        <f>T115/$T$5</f>
        <v>0.19274930540704988</v>
      </c>
      <c r="AG115">
        <f>X115/$X$5</f>
        <v>2.9182984541091188</v>
      </c>
    </row>
    <row r="116" spans="1:33" x14ac:dyDescent="0.25">
      <c r="A116" s="30" t="s">
        <v>114</v>
      </c>
      <c r="B116">
        <v>8.7266462599716474E-2</v>
      </c>
      <c r="C116">
        <v>20.833333333333332</v>
      </c>
      <c r="D116">
        <f>(1/Gam*(1/M_3^2-1/F116^2)+(Gam+1)/2/Gam*LN((M_3^2/F116^2)*(1+F116^2*(Gam-1)/2)/(1+M_3^2*(Gam-1)/2)))*C116+L</f>
        <v>124.30231734818267</v>
      </c>
      <c r="E116">
        <f>D116/3.28</f>
        <v>37.897047972006916</v>
      </c>
      <c r="F116">
        <f>F115+0.01</f>
        <v>0.8548413165497587</v>
      </c>
      <c r="G116">
        <f>(Gam/Z/Rg)^0.5*F116*(1+F116^2*(Gam-1)/2)^(-(Gam+1)/2/(Gam-1))</f>
        <v>9.1969725027326948E-2</v>
      </c>
      <c r="H116">
        <f>J116/(1+(Gam-1)/2*F116^2)^(Gam/(Gam-1))</f>
        <v>64.165597639084382</v>
      </c>
      <c r="I116" s="21">
        <f>H116*6.89476</f>
        <v>442.40639597805341</v>
      </c>
      <c r="J116">
        <f>mdot*P116^0.5/B116/G116/gc^0.5/144</f>
        <v>103.43042861104892</v>
      </c>
      <c r="K116" s="21">
        <f>J116*6.89476</f>
        <v>713.12798197031566</v>
      </c>
      <c r="L116">
        <f>P116/(1+(Gam-1)/2*F116^2)</f>
        <v>575.55256885960648</v>
      </c>
      <c r="M116">
        <f>L116/1.8</f>
        <v>319.75142714422583</v>
      </c>
      <c r="N116">
        <f>L116-'Example 7.1 - Pipe P1'!$C$8</f>
        <v>115.88256885960647</v>
      </c>
      <c r="O116">
        <f>M116-'Example 7.1 - Pipe P1'!$C$9</f>
        <v>46.601427144225852</v>
      </c>
      <c r="P116">
        <f>P115</f>
        <v>659.67000000000007</v>
      </c>
      <c r="Q116">
        <f>Q115</f>
        <v>366.48333333333335</v>
      </c>
      <c r="R116">
        <f>P116-'Example 7.1 - Pipe P1'!$C$8</f>
        <v>200.00000000000006</v>
      </c>
      <c r="S116">
        <f>Q116-'Example 7.1 - Pipe P1'!$C$9</f>
        <v>93.333333333333371</v>
      </c>
      <c r="T116">
        <f>H116/L116/Rg/Z*144</f>
        <v>0.30089910404602166</v>
      </c>
      <c r="U116">
        <f>T116*16.01846</f>
        <v>4.8199402621970364</v>
      </c>
      <c r="V116">
        <f>(Gam*H116/T116*gc*144)^0.5</f>
        <v>1176.0843398230816</v>
      </c>
      <c r="W116">
        <f>V116/3.28</f>
        <v>358.56229872654927</v>
      </c>
      <c r="X116">
        <f>F116*V116</f>
        <v>1005.3654854279168</v>
      </c>
      <c r="Y116">
        <f>X116/3.28</f>
        <v>306.51386750851123</v>
      </c>
      <c r="AA116">
        <f>D116/$D$131</f>
        <v>0.99438939470761967</v>
      </c>
      <c r="AB116">
        <f>F116</f>
        <v>0.8548413165497587</v>
      </c>
      <c r="AC116">
        <f>H116/$H$5</f>
        <v>0.16892856936562153</v>
      </c>
      <c r="AD116">
        <f>J116/$J$5</f>
        <v>0.2585760715276223</v>
      </c>
      <c r="AE116">
        <f>L116/$L$5</f>
        <v>0.88547366411088935</v>
      </c>
      <c r="AF116">
        <f>T116/$T$5</f>
        <v>0.19077763259649738</v>
      </c>
      <c r="AG116">
        <f>X116/$X$5</f>
        <v>2.9484588541347034</v>
      </c>
    </row>
    <row r="117" spans="1:33" x14ac:dyDescent="0.25">
      <c r="A117" s="30" t="s">
        <v>114</v>
      </c>
      <c r="B117">
        <v>8.7266462599716474E-2</v>
      </c>
      <c r="C117">
        <v>20.833333333333332</v>
      </c>
      <c r="D117">
        <f>(1/Gam*(1/M_3^2-1/F117^2)+(Gam+1)/2/Gam*LN((M_3^2/F117^2)*(1+F117^2*(Gam-1)/2)/(1+M_3^2*(Gam-1)/2)))*C117+L</f>
        <v>124.40866309760811</v>
      </c>
      <c r="E117">
        <f>D117/3.28</f>
        <v>37.929470456587843</v>
      </c>
      <c r="F117">
        <f>F116+0.01</f>
        <v>0.86484131654975871</v>
      </c>
      <c r="G117">
        <f>(Gam/Z/Rg)^0.5*F117*(1+F117^2*(Gam-1)/2)^(-(Gam+1)/2/(Gam-1))</f>
        <v>9.2212963387382732E-2</v>
      </c>
      <c r="H117">
        <f>J117/(1+(Gam-1)/2*F117^2)^(Gam/(Gam-1))</f>
        <v>63.328715592838094</v>
      </c>
      <c r="I117" s="21">
        <f>H117*6.89476</f>
        <v>436.63629512087635</v>
      </c>
      <c r="J117">
        <f>mdot*P117^0.5/B117/G117/gc^0.5/144</f>
        <v>103.15760094223701</v>
      </c>
      <c r="K117" s="21">
        <f>J117*6.89476</f>
        <v>711.24690067249799</v>
      </c>
      <c r="L117">
        <f>P117/(1+(Gam-1)/2*F117^2)</f>
        <v>573.83061986818859</v>
      </c>
      <c r="M117">
        <f>L117/1.8</f>
        <v>318.7947888156603</v>
      </c>
      <c r="N117">
        <f>L117-'Example 7.1 - Pipe P1'!$C$8</f>
        <v>114.16061986818858</v>
      </c>
      <c r="O117">
        <f>M117-'Example 7.1 - Pipe P1'!$C$9</f>
        <v>45.64478881566032</v>
      </c>
      <c r="P117">
        <f>P116</f>
        <v>659.67000000000007</v>
      </c>
      <c r="Q117">
        <f>Q116</f>
        <v>366.48333333333335</v>
      </c>
      <c r="R117">
        <f>P117-'Example 7.1 - Pipe P1'!$C$8</f>
        <v>200.00000000000006</v>
      </c>
      <c r="S117">
        <f>Q117-'Example 7.1 - Pipe P1'!$C$9</f>
        <v>93.333333333333371</v>
      </c>
      <c r="T117">
        <f>H117/L117/Rg/Z*144</f>
        <v>0.29786577741213827</v>
      </c>
      <c r="U117">
        <f>T117*16.01846</f>
        <v>4.7713510408452402</v>
      </c>
      <c r="V117">
        <f>(Gam*H117/T117*gc*144)^0.5</f>
        <v>1174.3237063480119</v>
      </c>
      <c r="W117">
        <f>V117/3.28</f>
        <v>358.02552022805241</v>
      </c>
      <c r="X117">
        <f>F117*V117</f>
        <v>1015.6036602536069</v>
      </c>
      <c r="Y117">
        <f>X117/3.28</f>
        <v>309.63526227244114</v>
      </c>
      <c r="AA117">
        <f>D117/$D$131</f>
        <v>0.99524013576906489</v>
      </c>
      <c r="AB117">
        <f>F117</f>
        <v>0.86484131654975871</v>
      </c>
      <c r="AC117">
        <f>H117/$H$5</f>
        <v>0.16672531260496065</v>
      </c>
      <c r="AD117">
        <f>J117/$J$5</f>
        <v>0.25789400235559251</v>
      </c>
      <c r="AE117">
        <f>L117/$L$5</f>
        <v>0.88282448736259689</v>
      </c>
      <c r="AF117">
        <f>T117/$T$5</f>
        <v>0.1888544268895915</v>
      </c>
      <c r="AG117">
        <f>X117/$X$5</f>
        <v>2.9784845887083704</v>
      </c>
    </row>
    <row r="118" spans="1:33" x14ac:dyDescent="0.25">
      <c r="A118" s="30" t="s">
        <v>114</v>
      </c>
      <c r="B118">
        <v>8.7266462599716474E-2</v>
      </c>
      <c r="C118">
        <v>20.833333333333332</v>
      </c>
      <c r="D118">
        <f>(1/Gam*(1/M_3^2-1/F118^2)+(Gam+1)/2/Gam*LN((M_3^2/F118^2)*(1+F118^2*(Gam-1)/2)/(1+M_3^2*(Gam-1)/2)))*C118+L</f>
        <v>124.50428007402124</v>
      </c>
      <c r="E118">
        <f>D118/3.28</f>
        <v>37.958621973786968</v>
      </c>
      <c r="F118">
        <f>F117+0.01</f>
        <v>0.87484131654975872</v>
      </c>
      <c r="G118">
        <f>(Gam/Z/Rg)^0.5*F118*(1+F118^2*(Gam-1)/2)^(-(Gam+1)/2/(Gam-1))</f>
        <v>9.2437345520747158E-2</v>
      </c>
      <c r="H118">
        <f>J118/(1+(Gam-1)/2*F118^2)^(Gam/(Gam-1))</f>
        <v>62.510301762455768</v>
      </c>
      <c r="I118" s="21">
        <f>H118*6.89476</f>
        <v>430.99352817970953</v>
      </c>
      <c r="J118">
        <f>mdot*P118^0.5/B118/G118/gc^0.5/144</f>
        <v>102.90719649323667</v>
      </c>
      <c r="K118" s="21">
        <f>J118*6.89476</f>
        <v>709.52042209370848</v>
      </c>
      <c r="L118">
        <f>P118/(1+(Gam-1)/2*F118^2)</f>
        <v>572.09909684497131</v>
      </c>
      <c r="M118">
        <f>L118/1.8</f>
        <v>317.83283158053962</v>
      </c>
      <c r="N118">
        <f>L118-'Example 7.1 - Pipe P1'!$C$8</f>
        <v>112.4290968449713</v>
      </c>
      <c r="O118">
        <f>M118-'Example 7.1 - Pipe P1'!$C$9</f>
        <v>44.682831580539641</v>
      </c>
      <c r="P118">
        <f>P117</f>
        <v>659.67000000000007</v>
      </c>
      <c r="Q118">
        <f>Q117</f>
        <v>366.48333333333335</v>
      </c>
      <c r="R118">
        <f>P118-'Example 7.1 - Pipe P1'!$C$8</f>
        <v>200.00000000000006</v>
      </c>
      <c r="S118">
        <f>Q118-'Example 7.1 - Pipe P1'!$C$9</f>
        <v>93.333333333333371</v>
      </c>
      <c r="T118">
        <f>H118/L118/Rg/Z*144</f>
        <v>0.29490625279998423</v>
      </c>
      <c r="U118">
        <f>T118*16.01846</f>
        <v>4.7239440142264355</v>
      </c>
      <c r="V118">
        <f>(Gam*H118/T118*gc*144)^0.5</f>
        <v>1172.5506180052134</v>
      </c>
      <c r="W118">
        <f>V118/3.28</f>
        <v>357.48494451378463</v>
      </c>
      <c r="X118">
        <f>F118*V118</f>
        <v>1025.7957263769142</v>
      </c>
      <c r="Y118">
        <f>X118/3.28</f>
        <v>312.74259950515682</v>
      </c>
      <c r="AA118">
        <f>D118/$D$131</f>
        <v>0.99600504916189325</v>
      </c>
      <c r="AB118">
        <f>F118</f>
        <v>0.87484131654975872</v>
      </c>
      <c r="AC118">
        <f>H118/$H$5</f>
        <v>0.16457067705877332</v>
      </c>
      <c r="AD118">
        <f>J118/$J$5</f>
        <v>0.25726799123309169</v>
      </c>
      <c r="AE118">
        <f>L118/$L$5</f>
        <v>0.88016058119865004</v>
      </c>
      <c r="AF118">
        <f>T118/$T$5</f>
        <v>0.18697801352868146</v>
      </c>
      <c r="AG118">
        <f>X118/$X$5</f>
        <v>3.0083750992130169</v>
      </c>
    </row>
    <row r="119" spans="1:33" x14ac:dyDescent="0.25">
      <c r="A119" s="30" t="s">
        <v>114</v>
      </c>
      <c r="B119">
        <v>8.7266462599716474E-2</v>
      </c>
      <c r="C119">
        <v>20.833333333333332</v>
      </c>
      <c r="D119">
        <f>(1/Gam*(1/M_3^2-1/F119^2)+(Gam+1)/2/Gam*LN((M_3^2/F119^2)*(1+F119^2*(Gam-1)/2)/(1+M_3^2*(Gam-1)/2)))*C119+L</f>
        <v>124.58977264467143</v>
      </c>
      <c r="E119">
        <f>D119/3.28</f>
        <v>37.984686781912025</v>
      </c>
      <c r="F119">
        <f>F118+0.01</f>
        <v>0.88484131654975873</v>
      </c>
      <c r="G119">
        <f>(Gam/Z/Rg)^0.5*F119*(1+F119^2*(Gam-1)/2)^(-(Gam+1)/2/(Gam-1))</f>
        <v>9.2643084566143744E-2</v>
      </c>
      <c r="H119">
        <f>J119/(1+(Gam-1)/2*F119^2)^(Gam/(Gam-1))</f>
        <v>61.709741404709902</v>
      </c>
      <c r="I119" s="21">
        <f>H119*6.89476</f>
        <v>425.47385664753762</v>
      </c>
      <c r="J119">
        <f>mdot*P119^0.5/B119/G119/gc^0.5/144</f>
        <v>102.67866320907297</v>
      </c>
      <c r="K119" s="21">
        <f>J119*6.89476</f>
        <v>707.94473994738792</v>
      </c>
      <c r="L119">
        <f>P119/(1+(Gam-1)/2*F119^2)</f>
        <v>570.35826584597714</v>
      </c>
      <c r="M119">
        <f>L119/1.8</f>
        <v>316.86570324776505</v>
      </c>
      <c r="N119">
        <f>L119-'Example 7.1 - Pipe P1'!$C$8</f>
        <v>110.68826584597713</v>
      </c>
      <c r="O119">
        <f>M119-'Example 7.1 - Pipe P1'!$C$9</f>
        <v>43.715703247765077</v>
      </c>
      <c r="P119">
        <f>P118</f>
        <v>659.67000000000007</v>
      </c>
      <c r="Q119">
        <f>Q118</f>
        <v>366.48333333333335</v>
      </c>
      <c r="R119">
        <f>P119-'Example 7.1 - Pipe P1'!$C$8</f>
        <v>200.00000000000006</v>
      </c>
      <c r="S119">
        <f>Q119-'Example 7.1 - Pipe P1'!$C$9</f>
        <v>93.333333333333371</v>
      </c>
      <c r="T119">
        <f>H119/L119/Rg/Z*144</f>
        <v>0.29201800807068307</v>
      </c>
      <c r="U119">
        <f>T119*16.01846</f>
        <v>4.6776787815599139</v>
      </c>
      <c r="V119">
        <f>(Gam*H119/T119*gc*144)^0.5</f>
        <v>1170.7652912716253</v>
      </c>
      <c r="W119">
        <f>V119/3.28</f>
        <v>356.9406375828126</v>
      </c>
      <c r="X119">
        <f>F119*V119</f>
        <v>1035.9415016995467</v>
      </c>
      <c r="Y119">
        <f>X119/3.28</f>
        <v>315.83582368888619</v>
      </c>
      <c r="AA119">
        <f>D119/$D$131</f>
        <v>0.99668896968239895</v>
      </c>
      <c r="AB119">
        <f>F119</f>
        <v>0.88484131654975873</v>
      </c>
      <c r="AC119">
        <f>H119/$H$5</f>
        <v>0.16246304429447622</v>
      </c>
      <c r="AD119">
        <f>J119/$J$5</f>
        <v>0.25669665802268243</v>
      </c>
      <c r="AE119">
        <f>L119/$L$5</f>
        <v>0.87748235493978466</v>
      </c>
      <c r="AF119">
        <f>T119/$T$5</f>
        <v>0.18514679341401102</v>
      </c>
      <c r="AG119">
        <f>X119/$X$5</f>
        <v>3.038129851604725</v>
      </c>
    </row>
    <row r="120" spans="1:33" x14ac:dyDescent="0.25">
      <c r="A120" s="30" t="s">
        <v>114</v>
      </c>
      <c r="B120">
        <v>8.7266462599716474E-2</v>
      </c>
      <c r="C120">
        <v>20.833333333333332</v>
      </c>
      <c r="D120">
        <f>(1/Gam*(1/M_3^2-1/F120^2)+(Gam+1)/2/Gam*LN((M_3^2/F120^2)*(1+F120^2*(Gam-1)/2)/(1+M_3^2*(Gam-1)/2)))*C120+L</f>
        <v>124.66570896274317</v>
      </c>
      <c r="E120">
        <f>D120/3.28</f>
        <v>38.007838098397308</v>
      </c>
      <c r="F120">
        <f>F119+0.01</f>
        <v>0.89484131654975874</v>
      </c>
      <c r="G120">
        <f>(Gam/Z/Rg)^0.5*F120*(1+F120^2*(Gam-1)/2)^(-(Gam+1)/2/(Gam-1))</f>
        <v>9.2830398788077931E-2</v>
      </c>
      <c r="H120">
        <f>J120/(1+(Gam-1)/2*F120^2)^(Gam/(Gam-1))</f>
        <v>60.926447235640886</v>
      </c>
      <c r="I120" s="21">
        <f>H120*6.89476</f>
        <v>420.07323134240733</v>
      </c>
      <c r="J120">
        <f>mdot*P120^0.5/B120/G120/gc^0.5/144</f>
        <v>102.47147704851194</v>
      </c>
      <c r="K120" s="21">
        <f>J120*6.89476</f>
        <v>706.51624109499824</v>
      </c>
      <c r="L120">
        <f>P120/(1+(Gam-1)/2*F120^2)</f>
        <v>568.60839164274205</v>
      </c>
      <c r="M120">
        <f>L120/1.8</f>
        <v>315.89355091263445</v>
      </c>
      <c r="N120">
        <f>L120-'Example 7.1 - Pipe P1'!$C$8</f>
        <v>108.93839164274203</v>
      </c>
      <c r="O120">
        <f>M120-'Example 7.1 - Pipe P1'!$C$9</f>
        <v>42.743550912634475</v>
      </c>
      <c r="P120">
        <f>P119</f>
        <v>659.67000000000007</v>
      </c>
      <c r="Q120">
        <f>Q119</f>
        <v>366.48333333333335</v>
      </c>
      <c r="R120">
        <f>P120-'Example 7.1 - Pipe P1'!$C$8</f>
        <v>200.00000000000006</v>
      </c>
      <c r="S120">
        <f>Q120-'Example 7.1 - Pipe P1'!$C$9</f>
        <v>93.333333333333371</v>
      </c>
      <c r="T120">
        <f>H120/L120/Rg/Z*144</f>
        <v>0.28919863375074939</v>
      </c>
      <c r="U120">
        <f>T120*16.01846</f>
        <v>4.6325167467910298</v>
      </c>
      <c r="V120">
        <f>(Gam*H120/T120*gc*144)^0.5</f>
        <v>1168.9679422373511</v>
      </c>
      <c r="W120">
        <f>V120/3.28</f>
        <v>356.39266531626561</v>
      </c>
      <c r="X120">
        <f>F120*V120</f>
        <v>1046.0408124361336</v>
      </c>
      <c r="Y120">
        <f>X120/3.28</f>
        <v>318.91488184028464</v>
      </c>
      <c r="AA120">
        <f>D120/$D$131</f>
        <v>0.9972964424228481</v>
      </c>
      <c r="AB120">
        <f>F120</f>
        <v>0.89484131654975874</v>
      </c>
      <c r="AC120">
        <f>H120/$H$5</f>
        <v>0.16040086817141516</v>
      </c>
      <c r="AD120">
        <f>J120/$J$5</f>
        <v>0.25617869262127985</v>
      </c>
      <c r="AE120">
        <f>L120/$L$5</f>
        <v>0.87479021593058559</v>
      </c>
      <c r="AF120">
        <f>T120/$T$5</f>
        <v>0.18335923887852779</v>
      </c>
      <c r="AG120">
        <f>X120/$X$5</f>
        <v>3.0677483362190769</v>
      </c>
    </row>
    <row r="121" spans="1:33" x14ac:dyDescent="0.25">
      <c r="A121" s="30" t="s">
        <v>114</v>
      </c>
      <c r="B121">
        <v>8.7266462599716474E-2</v>
      </c>
      <c r="C121">
        <v>20.833333333333332</v>
      </c>
      <c r="D121">
        <f>(1/Gam*(1/M_3^2-1/F121^2)+(Gam+1)/2/Gam*LN((M_3^2/F121^2)*(1+F121^2*(Gam-1)/2)/(1+M_3^2*(Gam-1)/2)))*C121+L</f>
        <v>124.73262343466028</v>
      </c>
      <c r="E121">
        <f>D121/3.28</f>
        <v>38.028238852030576</v>
      </c>
      <c r="F121">
        <f>F120+0.01</f>
        <v>0.90484131654975875</v>
      </c>
      <c r="G121">
        <f>(Gam/Z/Rg)^0.5*F121*(1+F121^2*(Gam-1)/2)^(-(Gam+1)/2/(Gam-1))</f>
        <v>9.2999511319081046E-2</v>
      </c>
      <c r="H121">
        <f>J121/(1+(Gam-1)/2*F121^2)^(Gam/(Gam-1))</f>
        <v>60.159857910410935</v>
      </c>
      <c r="I121" s="21">
        <f>H121*6.89476</f>
        <v>414.78778192638487</v>
      </c>
      <c r="J121">
        <f>mdot*P121^0.5/B121/G121/gc^0.5/144</f>
        <v>102.2851404689589</v>
      </c>
      <c r="K121" s="21">
        <f>J121*6.89476</f>
        <v>705.23149509975906</v>
      </c>
      <c r="L121">
        <f>P121/(1+(Gam-1)/2*F121^2)</f>
        <v>566.84973765073141</v>
      </c>
      <c r="M121">
        <f>L121/1.8</f>
        <v>314.916520917073</v>
      </c>
      <c r="N121">
        <f>L121-'Example 7.1 - Pipe P1'!$C$8</f>
        <v>107.1797376507314</v>
      </c>
      <c r="O121">
        <f>M121-'Example 7.1 - Pipe P1'!$C$9</f>
        <v>41.766520917073024</v>
      </c>
      <c r="P121">
        <f>P120</f>
        <v>659.67000000000007</v>
      </c>
      <c r="Q121">
        <f>Q120</f>
        <v>366.48333333333335</v>
      </c>
      <c r="R121">
        <f>P121-'Example 7.1 - Pipe P1'!$C$8</f>
        <v>200.00000000000006</v>
      </c>
      <c r="S121">
        <f>Q121-'Example 7.1 - Pipe P1'!$C$9</f>
        <v>93.333333333333371</v>
      </c>
      <c r="T121">
        <f>H121/L121/Rg/Z*144</f>
        <v>0.28644582680988256</v>
      </c>
      <c r="U121">
        <f>T121*16.01846</f>
        <v>4.5884210189210322</v>
      </c>
      <c r="V121">
        <f>(Gam*H121/T121*gc*144)^0.5</f>
        <v>1167.1587865514621</v>
      </c>
      <c r="W121">
        <f>V121/3.28</f>
        <v>355.84109346081163</v>
      </c>
      <c r="X121">
        <f>F121*V121</f>
        <v>1056.0934930458438</v>
      </c>
      <c r="Y121">
        <f>X121/3.28</f>
        <v>321.97972348958655</v>
      </c>
      <c r="AA121">
        <f>D121/$D$131</f>
        <v>0.99783174250933371</v>
      </c>
      <c r="AB121">
        <f>F121</f>
        <v>0.90484131654975875</v>
      </c>
      <c r="AC121">
        <f>H121/$H$5</f>
        <v>0.15838267083878138</v>
      </c>
      <c r="AD121">
        <f>J121/$J$5</f>
        <v>0.25571285117239723</v>
      </c>
      <c r="AE121">
        <f>L121/$L$5</f>
        <v>0.87208456942935564</v>
      </c>
      <c r="AF121">
        <f>T121/$T$5</f>
        <v>0.18161388974284723</v>
      </c>
      <c r="AG121">
        <f>X121/$X$5</f>
        <v>3.0972300675706088</v>
      </c>
    </row>
    <row r="122" spans="1:33" x14ac:dyDescent="0.25">
      <c r="A122" s="30" t="s">
        <v>114</v>
      </c>
      <c r="B122">
        <v>8.7266462599716474E-2</v>
      </c>
      <c r="C122">
        <v>20.833333333333332</v>
      </c>
      <c r="D122">
        <f>(1/Gam*(1/M_3^2-1/F122^2)+(Gam+1)/2/Gam*LN((M_3^2/F122^2)*(1+F122^2*(Gam-1)/2)/(1+M_3^2*(Gam-1)/2)))*C122+L</f>
        <v>124.79101899626849</v>
      </c>
      <c r="E122">
        <f>D122/3.28</f>
        <v>38.046042376911124</v>
      </c>
      <c r="F122">
        <f>F121+0.01</f>
        <v>0.91484131654975875</v>
      </c>
      <c r="G122">
        <f>(Gam/Z/Rg)^0.5*F122*(1+F122^2*(Gam-1)/2)^(-(Gam+1)/2/(Gam-1))</f>
        <v>9.3150649903697522E-2</v>
      </c>
      <c r="H122">
        <f>J122/(1+(Gam-1)/2*F122^2)^(Gam/(Gam-1))</f>
        <v>59.409436602912628</v>
      </c>
      <c r="I122" s="21">
        <f>H122*6.89476</f>
        <v>409.61380711229788</v>
      </c>
      <c r="J122">
        <f>mdot*P122^0.5/B122/G122/gc^0.5/144</f>
        <v>102.11918101109407</v>
      </c>
      <c r="K122" s="21">
        <f>J122*6.89476</f>
        <v>704.08724446805093</v>
      </c>
      <c r="L122">
        <f>P122/(1+(Gam-1)/2*F122^2)</f>
        <v>565.08256585975539</v>
      </c>
      <c r="M122">
        <f>L122/1.8</f>
        <v>313.93475881097521</v>
      </c>
      <c r="N122">
        <f>L122-'Example 7.1 - Pipe P1'!$C$8</f>
        <v>105.41256585975538</v>
      </c>
      <c r="O122">
        <f>M122-'Example 7.1 - Pipe P1'!$C$9</f>
        <v>40.784758810975234</v>
      </c>
      <c r="P122">
        <f>P121</f>
        <v>659.67000000000007</v>
      </c>
      <c r="Q122">
        <f>Q121</f>
        <v>366.48333333333335</v>
      </c>
      <c r="R122">
        <f>P122-'Example 7.1 - Pipe P1'!$C$8</f>
        <v>200.00000000000006</v>
      </c>
      <c r="S122">
        <f>Q122-'Example 7.1 - Pipe P1'!$C$9</f>
        <v>93.333333333333371</v>
      </c>
      <c r="T122">
        <f>H122/L122/Rg/Z*144</f>
        <v>0.2837573848468144</v>
      </c>
      <c r="U122">
        <f>T122*16.01846</f>
        <v>4.5453563188733028</v>
      </c>
      <c r="V122">
        <f>(Gam*H122/T122*gc*144)^0.5</f>
        <v>1165.3380393688958</v>
      </c>
      <c r="W122">
        <f>V122/3.28</f>
        <v>355.28598761246826</v>
      </c>
      <c r="X122">
        <f>F122*V122</f>
        <v>1066.0993861617553</v>
      </c>
      <c r="Y122">
        <f>X122/3.28</f>
        <v>325.03030065907177</v>
      </c>
      <c r="AA122">
        <f>D122/$D$131</f>
        <v>0.99829889331070243</v>
      </c>
      <c r="AB122">
        <f>F122</f>
        <v>0.91484131654975875</v>
      </c>
      <c r="AC122">
        <f>H122/$H$5</f>
        <v>0.15640703899615124</v>
      </c>
      <c r="AD122">
        <f>J122/$J$5</f>
        <v>0.25529795252773518</v>
      </c>
      <c r="AE122">
        <f>L122/$L$5</f>
        <v>0.86936581850106187</v>
      </c>
      <c r="AF122">
        <f>T122/$T$5</f>
        <v>0.17990934962893324</v>
      </c>
      <c r="AG122">
        <f>X122/$X$5</f>
        <v>3.1265745841456707</v>
      </c>
    </row>
    <row r="123" spans="1:33" x14ac:dyDescent="0.25">
      <c r="A123" s="30" t="s">
        <v>114</v>
      </c>
      <c r="B123">
        <v>8.7266462599716474E-2</v>
      </c>
      <c r="C123">
        <v>20.833333333333332</v>
      </c>
      <c r="D123">
        <f>(1/Gam*(1/M_3^2-1/F123^2)+(Gam+1)/2/Gam*LN((M_3^2/F123^2)*(1+F123^2*(Gam-1)/2)/(1+M_3^2*(Gam-1)/2)))*C123+L</f>
        <v>124.84136921452235</v>
      </c>
      <c r="E123">
        <f>D123/3.28</f>
        <v>38.061393053208036</v>
      </c>
      <c r="F123">
        <f>F122+0.01</f>
        <v>0.92484131654975876</v>
      </c>
      <c r="G123">
        <f>(Gam/Z/Rg)^0.5*F123*(1+F123^2*(Gam-1)/2)^(-(Gam+1)/2/(Gam-1))</f>
        <v>9.3284046644472388E-2</v>
      </c>
      <c r="H123">
        <f>J123/(1+(Gam-1)/2*F123^2)^(Gam/(Gam-1))</f>
        <v>58.674669677582408</v>
      </c>
      <c r="I123" s="21">
        <f>H123*6.89476</f>
        <v>404.54776550620807</v>
      </c>
      <c r="J123">
        <f>mdot*P123^0.5/B123/G123/gc^0.5/144</f>
        <v>101.97314997569745</v>
      </c>
      <c r="K123" s="21">
        <f>J123*6.89476</f>
        <v>703.0803955264397</v>
      </c>
      <c r="L123">
        <f>P123/(1+(Gam-1)/2*F123^2)</f>
        <v>563.30713676639039</v>
      </c>
      <c r="M123">
        <f>L123/1.8</f>
        <v>312.94840931466132</v>
      </c>
      <c r="N123">
        <f>L123-'Example 7.1 - Pipe P1'!$C$8</f>
        <v>103.63713676639037</v>
      </c>
      <c r="O123">
        <f>M123-'Example 7.1 - Pipe P1'!$C$9</f>
        <v>39.798409314661342</v>
      </c>
      <c r="P123">
        <f>P122</f>
        <v>659.67000000000007</v>
      </c>
      <c r="Q123">
        <f>Q122</f>
        <v>366.48333333333335</v>
      </c>
      <c r="R123">
        <f>P123-'Example 7.1 - Pipe P1'!$C$8</f>
        <v>200.00000000000006</v>
      </c>
      <c r="S123">
        <f>Q123-'Example 7.1 - Pipe P1'!$C$9</f>
        <v>93.333333333333371</v>
      </c>
      <c r="T123">
        <f>H123/L123/Rg/Z*144</f>
        <v>0.281131200652327</v>
      </c>
      <c r="U123">
        <f>T123*16.01846</f>
        <v>4.5032888924012742</v>
      </c>
      <c r="V123">
        <f>(Gam*H123/T123*gc*144)^0.5</f>
        <v>1163.505915298455</v>
      </c>
      <c r="W123">
        <f>V123/3.28</f>
        <v>354.72741320074846</v>
      </c>
      <c r="X123">
        <f>F123*V123</f>
        <v>1076.0583425180553</v>
      </c>
      <c r="Y123">
        <f>X123/3.28</f>
        <v>328.0665678408705</v>
      </c>
      <c r="AA123">
        <f>D123/$D$131</f>
        <v>0.99870168325155773</v>
      </c>
      <c r="AB123">
        <f>F123</f>
        <v>0.92484131654975876</v>
      </c>
      <c r="AC123">
        <f>H123/$H$5</f>
        <v>0.15447262039677387</v>
      </c>
      <c r="AD123">
        <f>J123/$J$5</f>
        <v>0.25493287493924366</v>
      </c>
      <c r="AE123">
        <f>L123/$L$5</f>
        <v>0.86663436391336723</v>
      </c>
      <c r="AF123">
        <f>T123/$T$5</f>
        <v>0.17824428251291413</v>
      </c>
      <c r="AG123">
        <f>X123/$X$5</f>
        <v>3.1557814481889253</v>
      </c>
    </row>
    <row r="124" spans="1:33" x14ac:dyDescent="0.25">
      <c r="A124" s="30" t="s">
        <v>114</v>
      </c>
      <c r="B124">
        <v>8.7266462599716474E-2</v>
      </c>
      <c r="C124">
        <v>20.833333333333332</v>
      </c>
      <c r="D124">
        <f>(1/Gam*(1/M_3^2-1/F124^2)+(Gam+1)/2/Gam*LN((M_3^2/F124^2)*(1+F124^2*(Gam-1)/2)/(1+M_3^2*(Gam-1)/2)))*C124+L</f>
        <v>124.88412022969919</v>
      </c>
      <c r="E124">
        <f>D124/3.28</f>
        <v>38.074426899298537</v>
      </c>
      <c r="F124">
        <f>F123+0.01</f>
        <v>0.93484131654975877</v>
      </c>
      <c r="G124">
        <f>(Gam/Z/Rg)^0.5*F124*(1+F124^2*(Gam-1)/2)^(-(Gam+1)/2/(Gam-1))</f>
        <v>9.3399937750186179E-2</v>
      </c>
      <c r="H124">
        <f>J124/(1+(Gam-1)/2*F124^2)^(Gam/(Gam-1))</f>
        <v>57.955065446515555</v>
      </c>
      <c r="I124" s="21">
        <f>H124*6.89476</f>
        <v>399.58626703801758</v>
      </c>
      <c r="J124">
        <f>mdot*P124^0.5/B124/G124/gc^0.5/144</f>
        <v>101.8466211857596</v>
      </c>
      <c r="K124" s="21">
        <f>J124*6.89476</f>
        <v>702.20800988672784</v>
      </c>
      <c r="L124">
        <f>P124/(1+(Gam-1)/2*F124^2)</f>
        <v>561.523709308413</v>
      </c>
      <c r="M124">
        <f>L124/1.8</f>
        <v>311.95761628245168</v>
      </c>
      <c r="N124">
        <f>L124-'Example 7.1 - Pipe P1'!$C$8</f>
        <v>101.85370930841299</v>
      </c>
      <c r="O124">
        <f>M124-'Example 7.1 - Pipe P1'!$C$9</f>
        <v>38.807616282451704</v>
      </c>
      <c r="P124">
        <f>P123</f>
        <v>659.67000000000007</v>
      </c>
      <c r="Q124">
        <f>Q123</f>
        <v>366.48333333333335</v>
      </c>
      <c r="R124">
        <f>P124-'Example 7.1 - Pipe P1'!$C$8</f>
        <v>200.00000000000006</v>
      </c>
      <c r="S124">
        <f>Q124-'Example 7.1 - Pipe P1'!$C$9</f>
        <v>93.333333333333371</v>
      </c>
      <c r="T124">
        <f>H124/L124/Rg/Z*144</f>
        <v>0.27856525712119679</v>
      </c>
      <c r="U124">
        <f>T124*16.01846</f>
        <v>4.4621864285856061</v>
      </c>
      <c r="V124">
        <f>(Gam*H124/T124*gc*144)^0.5</f>
        <v>1161.6626283519256</v>
      </c>
      <c r="W124">
        <f>V124/3.28</f>
        <v>354.16543547314808</v>
      </c>
      <c r="X124">
        <f>F124*V124</f>
        <v>1085.9702208751673</v>
      </c>
      <c r="Y124">
        <f>X124/3.28</f>
        <v>331.08848197413641</v>
      </c>
      <c r="AA124">
        <f>D124/$D$131</f>
        <v>0.9990436813495156</v>
      </c>
      <c r="AB124">
        <f>F124</f>
        <v>0.93484131654975877</v>
      </c>
      <c r="AC124">
        <f>H124/$H$5</f>
        <v>0.15257812057543149</v>
      </c>
      <c r="AD124">
        <f>J124/$J$5</f>
        <v>0.254616552964399</v>
      </c>
      <c r="AE124">
        <f>L124/$L$5</f>
        <v>0.86389060403575924</v>
      </c>
      <c r="AF124">
        <f>T124/$T$5</f>
        <v>0.1766174094991266</v>
      </c>
      <c r="AG124">
        <f>X124/$X$5</f>
        <v>3.1848502454837662</v>
      </c>
    </row>
    <row r="125" spans="1:33" x14ac:dyDescent="0.25">
      <c r="A125" s="30" t="s">
        <v>114</v>
      </c>
      <c r="B125">
        <v>8.7266462599716474E-2</v>
      </c>
      <c r="C125">
        <v>20.833333333333332</v>
      </c>
      <c r="D125">
        <f>(1/Gam*(1/M_3^2-1/F125^2)+(Gam+1)/2/Gam*LN((M_3^2/F125^2)*(1+F125^2*(Gam-1)/2)/(1+M_3^2*(Gam-1)/2)))*C125+L</f>
        <v>124.91969255172839</v>
      </c>
      <c r="E125">
        <f>D125/3.28</f>
        <v>38.085272119429391</v>
      </c>
      <c r="F125">
        <f>F124+0.01</f>
        <v>0.94484131654975878</v>
      </c>
      <c r="G125">
        <f>(Gam/Z/Rg)^0.5*F125*(1+F125^2*(Gam-1)/2)^(-(Gam+1)/2/(Gam-1))</f>
        <v>9.3498563286573008E-2</v>
      </c>
      <c r="H125">
        <f>J125/(1+(Gam-1)/2*F125^2)^(Gam/(Gam-1))</f>
        <v>57.250153005563007</v>
      </c>
      <c r="I125" s="21">
        <f>H125*6.89476</f>
        <v>394.72606493663557</v>
      </c>
      <c r="J125">
        <f>mdot*P125^0.5/B125/G125/gc^0.5/144</f>
        <v>101.73918982755953</v>
      </c>
      <c r="K125" s="21">
        <f>J125*6.89476</f>
        <v>701.46729645546429</v>
      </c>
      <c r="L125">
        <f>P125/(1+(Gam-1)/2*F125^2)</f>
        <v>559.73254080124843</v>
      </c>
      <c r="M125">
        <f>L125/1.8</f>
        <v>310.96252266736025</v>
      </c>
      <c r="N125">
        <f>L125-'Example 7.1 - Pipe P1'!$C$8</f>
        <v>100.06254080124842</v>
      </c>
      <c r="O125">
        <f>M125-'Example 7.1 - Pipe P1'!$C$9</f>
        <v>37.81252266736027</v>
      </c>
      <c r="P125">
        <f>P124</f>
        <v>659.67000000000007</v>
      </c>
      <c r="Q125">
        <f>Q124</f>
        <v>366.48333333333335</v>
      </c>
      <c r="R125">
        <f>P125-'Example 7.1 - Pipe P1'!$C$8</f>
        <v>200.00000000000006</v>
      </c>
      <c r="S125">
        <f>Q125-'Example 7.1 - Pipe P1'!$C$9</f>
        <v>93.333333333333371</v>
      </c>
      <c r="T125">
        <f>H125/L125/Rg/Z*144</f>
        <v>0.27605762248721288</v>
      </c>
      <c r="U125">
        <f>T125*16.01846</f>
        <v>4.4220179835065201</v>
      </c>
      <c r="V125">
        <f>(Gam*H125/T125*gc*144)^0.5</f>
        <v>1159.8083918943153</v>
      </c>
      <c r="W125">
        <f>V125/3.28</f>
        <v>353.60011947997418</v>
      </c>
      <c r="X125">
        <f>F125*V125</f>
        <v>1095.8348879428834</v>
      </c>
      <c r="Y125">
        <f>X125/3.28</f>
        <v>334.09600242161082</v>
      </c>
      <c r="AA125">
        <f>D125/$D$131</f>
        <v>0.99932825158541783</v>
      </c>
      <c r="AB125">
        <f>F125</f>
        <v>0.94484131654975878</v>
      </c>
      <c r="AC125">
        <f>H125/$H$5</f>
        <v>0.15072229978423529</v>
      </c>
      <c r="AD125">
        <f>J125/$J$5</f>
        <v>0.25434797456889879</v>
      </c>
      <c r="AE125">
        <f>L125/$L$5</f>
        <v>0.86113493474177694</v>
      </c>
      <c r="AF125">
        <f>T125/$T$5</f>
        <v>0.17502750579899706</v>
      </c>
      <c r="AG125">
        <f>X125/$X$5</f>
        <v>3.2137805851268846</v>
      </c>
    </row>
    <row r="126" spans="1:33" x14ac:dyDescent="0.25">
      <c r="A126" s="30" t="s">
        <v>114</v>
      </c>
      <c r="B126">
        <v>8.7266462599716474E-2</v>
      </c>
      <c r="C126">
        <v>20.833333333333332</v>
      </c>
      <c r="D126">
        <f>(1/Gam*(1/M_3^2-1/F126^2)+(Gam+1)/2/Gam*LN((M_3^2/F126^2)*(1+F126^2*(Gam-1)/2)/(1+M_3^2*(Gam-1)/2)))*C126+L</f>
        <v>124.94848272293967</v>
      </c>
      <c r="E126">
        <f>D126/3.28</f>
        <v>38.094049610652341</v>
      </c>
      <c r="F126">
        <f>F125+0.01</f>
        <v>0.95484131654975879</v>
      </c>
      <c r="G126">
        <f>(Gam/Z/Rg)^0.5*F126*(1+F126^2*(Gam-1)/2)^(-(Gam+1)/2/(Gam-1))</f>
        <v>9.3580166929746675E-2</v>
      </c>
      <c r="H126">
        <f>J126/(1+(Gam-1)/2*F126^2)^(Gam/(Gam-1))</f>
        <v>56.559481143620502</v>
      </c>
      <c r="I126" s="21">
        <f>H126*6.89476</f>
        <v>389.96404820978887</v>
      </c>
      <c r="J126">
        <f>mdot*P126^0.5/B126/G126/gc^0.5/144</f>
        <v>101.65047136492097</v>
      </c>
      <c r="K126" s="21">
        <f>J126*6.89476</f>
        <v>700.85560394800257</v>
      </c>
      <c r="L126">
        <f>P126/(1+(Gam-1)/2*F126^2)</f>
        <v>557.93388687643528</v>
      </c>
      <c r="M126">
        <f>L126/1.8</f>
        <v>309.96327048690847</v>
      </c>
      <c r="N126">
        <f>L126-'Example 7.1 - Pipe P1'!$C$8</f>
        <v>98.263886876435265</v>
      </c>
      <c r="O126">
        <f>M126-'Example 7.1 - Pipe P1'!$C$9</f>
        <v>36.813270486908493</v>
      </c>
      <c r="P126">
        <f>P125</f>
        <v>659.67000000000007</v>
      </c>
      <c r="Q126">
        <f>Q125</f>
        <v>366.48333333333335</v>
      </c>
      <c r="R126">
        <f>P126-'Example 7.1 - Pipe P1'!$C$8</f>
        <v>200.00000000000006</v>
      </c>
      <c r="S126">
        <f>Q126-'Example 7.1 - Pipe P1'!$C$9</f>
        <v>93.333333333333371</v>
      </c>
      <c r="T126">
        <f>H126/L126/Rg/Z*144</f>
        <v>0.27360644585758576</v>
      </c>
      <c r="U126">
        <f>T126*16.01846</f>
        <v>4.3827539087119032</v>
      </c>
      <c r="V126">
        <f>(Gam*H126/T126*gc*144)^0.5</f>
        <v>1157.9434185952223</v>
      </c>
      <c r="W126">
        <f>V126/3.28</f>
        <v>353.03153005951901</v>
      </c>
      <c r="X126">
        <f>F126*V126</f>
        <v>1105.6522183015904</v>
      </c>
      <c r="Y126">
        <f>X126/3.28</f>
        <v>337.08909094560687</v>
      </c>
      <c r="AA126">
        <f>D126/$D$131</f>
        <v>0.99955856620492833</v>
      </c>
      <c r="AB126">
        <f>F126</f>
        <v>0.95484131654975879</v>
      </c>
      <c r="AC126">
        <f>H126/$H$5</f>
        <v>0.14890397012111425</v>
      </c>
      <c r="AD126">
        <f>J126/$J$5</f>
        <v>0.25412617841230245</v>
      </c>
      <c r="AE126">
        <f>L126/$L$5</f>
        <v>0.85836774931434079</v>
      </c>
      <c r="AF126">
        <f>T126/$T$5</f>
        <v>0.17347339789974389</v>
      </c>
      <c r="AG126">
        <f>X126/$X$5</f>
        <v>3.2425720992972509</v>
      </c>
    </row>
    <row r="127" spans="1:33" x14ac:dyDescent="0.25">
      <c r="A127" s="30" t="s">
        <v>114</v>
      </c>
      <c r="B127">
        <v>8.7266462599716474E-2</v>
      </c>
      <c r="C127">
        <v>20.833333333333332</v>
      </c>
      <c r="D127">
        <f>(1/Gam*(1/M_3^2-1/F127^2)+(Gam+1)/2/Gam*LN((M_3^2/F127^2)*(1+F127^2*(Gam-1)/2)/(1+M_3^2*(Gam-1)/2)))*C127+L</f>
        <v>124.97086485838457</v>
      </c>
      <c r="E127">
        <f>D127/3.28</f>
        <v>38.100873432434327</v>
      </c>
      <c r="F127">
        <f>F126+0.01</f>
        <v>0.9648413165497588</v>
      </c>
      <c r="G127">
        <f>(Gam/Z/Rg)^0.5*F127*(1+F127^2*(Gam-1)/2)^(-(Gam+1)/2/(Gam-1))</f>
        <v>9.3644995722548696E-2</v>
      </c>
      <c r="H127">
        <f>J127/(1+(Gam-1)/2*F127^2)^(Gam/(Gam-1))</f>
        <v>55.882617319799941</v>
      </c>
      <c r="I127" s="21">
        <f>H127*6.89476</f>
        <v>385.29723459186386</v>
      </c>
      <c r="J127">
        <f>mdot*P127^0.5/B127/G127/gc^0.5/144</f>
        <v>101.58010052133774</v>
      </c>
      <c r="K127" s="21">
        <f>J127*6.89476</f>
        <v>700.37041387049862</v>
      </c>
      <c r="L127">
        <f>P127/(1+(Gam-1)/2*F127^2)</f>
        <v>556.12800142210665</v>
      </c>
      <c r="M127">
        <f>L127/1.8</f>
        <v>308.96000079005927</v>
      </c>
      <c r="N127">
        <f>L127-'Example 7.1 - Pipe P1'!$C$8</f>
        <v>96.458001422106634</v>
      </c>
      <c r="O127">
        <f>M127-'Example 7.1 - Pipe P1'!$C$9</f>
        <v>35.810000790059291</v>
      </c>
      <c r="P127">
        <f>P126</f>
        <v>659.67000000000007</v>
      </c>
      <c r="Q127">
        <f>Q126</f>
        <v>366.48333333333335</v>
      </c>
      <c r="R127">
        <f>P127-'Example 7.1 - Pipe P1'!$C$8</f>
        <v>200.00000000000006</v>
      </c>
      <c r="S127">
        <f>Q127-'Example 7.1 - Pipe P1'!$C$9</f>
        <v>93.333333333333371</v>
      </c>
      <c r="T127">
        <f>H127/L127/Rg/Z*144</f>
        <v>0.27120995302502193</v>
      </c>
      <c r="U127">
        <f>T127*16.01846</f>
        <v>4.3443657841331929</v>
      </c>
      <c r="V127">
        <f>(Gam*H127/T127*gc*144)^0.5</f>
        <v>1156.0679203813438</v>
      </c>
      <c r="W127">
        <f>V127/3.28</f>
        <v>352.45973182358046</v>
      </c>
      <c r="X127">
        <f>F127*V127</f>
        <v>1115.4220943216776</v>
      </c>
      <c r="Y127">
        <f>X127/3.28</f>
        <v>340.06771168343829</v>
      </c>
      <c r="AA127">
        <f>D127/$D$131</f>
        <v>0.99973761804074379</v>
      </c>
      <c r="AB127">
        <f>F127</f>
        <v>0.9648413165497588</v>
      </c>
      <c r="AC127">
        <f>H127/$H$5</f>
        <v>0.14712199283701732</v>
      </c>
      <c r="AD127">
        <f>J127/$J$5</f>
        <v>0.25395025130334437</v>
      </c>
      <c r="AE127">
        <f>L127/$L$5</f>
        <v>0.85558943835418422</v>
      </c>
      <c r="AF127">
        <f>T127/$T$5</f>
        <v>0.17195396090912701</v>
      </c>
      <c r="AG127">
        <f>X127/$X$5</f>
        <v>3.2712244430197566</v>
      </c>
    </row>
    <row r="128" spans="1:33" x14ac:dyDescent="0.25">
      <c r="A128" s="30" t="s">
        <v>114</v>
      </c>
      <c r="B128">
        <v>8.7266462599716474E-2</v>
      </c>
      <c r="C128">
        <v>20.833333333333332</v>
      </c>
      <c r="D128">
        <f>(1/Gam*(1/M_3^2-1/F128^2)+(Gam+1)/2/Gam*LN((M_3^2/F128^2)*(1+F128^2*(Gam-1)/2)/(1+M_3^2*(Gam-1)/2)))*C128+L</f>
        <v>124.98719207385069</v>
      </c>
      <c r="E128">
        <f>D128/3.28</f>
        <v>38.105851242027654</v>
      </c>
      <c r="F128">
        <f>F127+0.01</f>
        <v>0.97484131654975881</v>
      </c>
      <c r="G128">
        <f>(Gam/Z/Rg)^0.5*F128*(1+F128^2*(Gam-1)/2)^(-(Gam+1)/2/(Gam-1))</f>
        <v>9.3693299834021346E-2</v>
      </c>
      <c r="H128">
        <f>J128/(1+(Gam-1)/2*F128^2)^(Gam/(Gam-1))</f>
        <v>55.21914670360907</v>
      </c>
      <c r="I128" s="21">
        <f>H128*6.89476</f>
        <v>380.72276392617567</v>
      </c>
      <c r="J128">
        <f>mdot*P128^0.5/B128/G128/gc^0.5/144</f>
        <v>101.5277303250945</v>
      </c>
      <c r="K128" s="21">
        <f>J128*6.89476</f>
        <v>700.00933393624848</v>
      </c>
      <c r="L128">
        <f>P128/(1+(Gam-1)/2*F128^2)</f>
        <v>554.31513652548324</v>
      </c>
      <c r="M128">
        <f>L128/1.8</f>
        <v>307.95285362526846</v>
      </c>
      <c r="N128">
        <f>L128-'Example 7.1 - Pipe P1'!$C$8</f>
        <v>94.645136525483224</v>
      </c>
      <c r="O128">
        <f>M128-'Example 7.1 - Pipe P1'!$C$9</f>
        <v>34.802853625268483</v>
      </c>
      <c r="P128">
        <f>P127</f>
        <v>659.67000000000007</v>
      </c>
      <c r="Q128">
        <f>Q127</f>
        <v>366.48333333333335</v>
      </c>
      <c r="R128">
        <f>P128-'Example 7.1 - Pipe P1'!$C$8</f>
        <v>200.00000000000006</v>
      </c>
      <c r="S128">
        <f>Q128-'Example 7.1 - Pipe P1'!$C$9</f>
        <v>93.333333333333371</v>
      </c>
      <c r="T128">
        <f>H128/L128/Rg/Z*144</f>
        <v>0.26886644253752856</v>
      </c>
      <c r="U128">
        <f>T128*16.01846</f>
        <v>4.3068263551296999</v>
      </c>
      <c r="V128">
        <f>(Gam*H128/T128*gc*144)^0.5</f>
        <v>1154.1821083901236</v>
      </c>
      <c r="W128">
        <f>V128/3.28</f>
        <v>351.88478914333041</v>
      </c>
      <c r="X128">
        <f>F128*V128</f>
        <v>1125.1444060812046</v>
      </c>
      <c r="Y128">
        <f>X128/3.28</f>
        <v>343.03183112231847</v>
      </c>
      <c r="AA128">
        <f>D128/$D$131</f>
        <v>0.99986823193637331</v>
      </c>
      <c r="AB128">
        <f>F128</f>
        <v>0.97484131654975881</v>
      </c>
      <c r="AC128">
        <f>H128/$H$5</f>
        <v>0.14537527580899759</v>
      </c>
      <c r="AD128">
        <f>J128/$J$5</f>
        <v>0.25381932581273625</v>
      </c>
      <c r="AE128">
        <f>L128/$L$5</f>
        <v>0.8528003896913805</v>
      </c>
      <c r="AF128">
        <f>T128/$T$5</f>
        <v>0.17046811606360474</v>
      </c>
      <c r="AG128">
        <f>X128/$X$5</f>
        <v>3.2997372939237581</v>
      </c>
    </row>
    <row r="129" spans="1:33" x14ac:dyDescent="0.25">
      <c r="A129" s="30" t="s">
        <v>114</v>
      </c>
      <c r="B129">
        <v>8.7266462599716474E-2</v>
      </c>
      <c r="C129">
        <v>20.833333333333332</v>
      </c>
      <c r="D129">
        <f>(1/Gam*(1/M_3^2-1/F129^2)+(Gam+1)/2/Gam*LN((M_3^2/F129^2)*(1+F129^2*(Gam-1)/2)/(1+M_3^2*(Gam-1)/2)))*C129+L</f>
        <v>124.99779781076225</v>
      </c>
      <c r="E129">
        <f>D129/3.28</f>
        <v>38.10908469840313</v>
      </c>
      <c r="F129">
        <f>F128+0.01</f>
        <v>0.98484131654975882</v>
      </c>
      <c r="G129">
        <f>(Gam/Z/Rg)^0.5*F129*(1+F129^2*(Gam-1)/2)^(-(Gam+1)/2/(Gam-1))</f>
        <v>9.3725332322197513E-2</v>
      </c>
      <c r="H129">
        <f>J129/(1+(Gam-1)/2*F129^2)^(Gam/(Gam-1))</f>
        <v>54.568671273660961</v>
      </c>
      <c r="I129" s="21">
        <f>H129*6.89476</f>
        <v>376.23789195078666</v>
      </c>
      <c r="J129">
        <f>mdot*P129^0.5/B129/G129/gc^0.5/144</f>
        <v>101.49303121290558</v>
      </c>
      <c r="K129" s="21">
        <f>J129*6.89476</f>
        <v>699.77009188549289</v>
      </c>
      <c r="L129">
        <f>P129/(1+(Gam-1)/2*F129^2)</f>
        <v>552.49554241737644</v>
      </c>
      <c r="M129">
        <f>L129/1.8</f>
        <v>306.94196800965358</v>
      </c>
      <c r="N129">
        <f>L129-'Example 7.1 - Pipe P1'!$C$8</f>
        <v>92.825542417376425</v>
      </c>
      <c r="O129">
        <f>M129-'Example 7.1 - Pipe P1'!$C$9</f>
        <v>33.791968009653601</v>
      </c>
      <c r="P129">
        <f>P128</f>
        <v>659.67000000000007</v>
      </c>
      <c r="Q129">
        <f>Q128</f>
        <v>366.48333333333335</v>
      </c>
      <c r="R129">
        <f>P129-'Example 7.1 - Pipe P1'!$C$8</f>
        <v>200.00000000000006</v>
      </c>
      <c r="S129">
        <f>Q129-'Example 7.1 - Pipe P1'!$C$9</f>
        <v>93.333333333333371</v>
      </c>
      <c r="T129">
        <f>H129/L129/Rg/Z*144</f>
        <v>0.26657428200762562</v>
      </c>
      <c r="U129">
        <f>T129*16.01846</f>
        <v>4.2701094733678708</v>
      </c>
      <c r="V129">
        <f>(Gam*H129/T129*gc*144)^0.5</f>
        <v>1152.2861929245507</v>
      </c>
      <c r="W129">
        <f>V129/3.28</f>
        <v>351.30676613553379</v>
      </c>
      <c r="X129">
        <f>F129*V129</f>
        <v>1134.819051281924</v>
      </c>
      <c r="Y129">
        <f>X129/3.28</f>
        <v>345.98141807375731</v>
      </c>
      <c r="AA129">
        <f>D129/$D$131</f>
        <v>0.99995307534503131</v>
      </c>
      <c r="AB129">
        <f>F129</f>
        <v>0.98484131654975882</v>
      </c>
      <c r="AC129">
        <f>H129/$H$5</f>
        <v>0.14366277116738743</v>
      </c>
      <c r="AD129">
        <f>J129/$J$5</f>
        <v>0.25373257803226396</v>
      </c>
      <c r="AE129">
        <f>L129/$L$5</f>
        <v>0.85000098829996229</v>
      </c>
      <c r="AF129">
        <f>T129/$T$5</f>
        <v>0.16901482838828108</v>
      </c>
      <c r="AG129">
        <f>X129/$X$5</f>
        <v>3.3281103519967945</v>
      </c>
    </row>
    <row r="130" spans="1:33" x14ac:dyDescent="0.25">
      <c r="A130" s="30" t="s">
        <v>114</v>
      </c>
      <c r="B130">
        <v>8.7266462599716474E-2</v>
      </c>
      <c r="C130">
        <v>20.833333333333332</v>
      </c>
      <c r="D130">
        <f>(1/Gam*(1/M_3^2-1/F130^2)+(Gam+1)/2/Gam*LN((M_3^2/F130^2)*(1+F130^2*(Gam-1)/2)/(1+M_3^2*(Gam-1)/2)))*C130+L</f>
        <v>125.00299706632447</v>
      </c>
      <c r="E130">
        <f>D130/3.28</f>
        <v>38.110669837294047</v>
      </c>
      <c r="F130">
        <f>F129+0.01</f>
        <v>0.99484131654975883</v>
      </c>
      <c r="G130">
        <f>(Gam/Z/Rg)^0.5*F130*(1+F130^2*(Gam-1)/2)^(-(Gam+1)/2/(Gam-1))</f>
        <v>9.3741348900387891E-2</v>
      </c>
      <c r="H130">
        <f>J130/(1+(Gam-1)/2*F130^2)^(Gam/(Gam-1))</f>
        <v>53.930808970795574</v>
      </c>
      <c r="I130" s="21">
        <f>H130*6.89476</f>
        <v>371.83998445948248</v>
      </c>
      <c r="J130">
        <f>mdot*P130^0.5/B130/G130/gc^0.5/144</f>
        <v>101.4756901879548</v>
      </c>
      <c r="K130" s="21">
        <f>J130*6.89476</f>
        <v>699.65052968030318</v>
      </c>
      <c r="L130">
        <f>P130/(1+(Gam-1)/2*F130^2)</f>
        <v>550.6694674186931</v>
      </c>
      <c r="M130">
        <f>L130/1.8</f>
        <v>305.92748189927391</v>
      </c>
      <c r="N130">
        <f>L130-'Example 7.1 - Pipe P1'!$C$8</f>
        <v>90.999467418693087</v>
      </c>
      <c r="O130">
        <f>M130-'Example 7.1 - Pipe P1'!$C$9</f>
        <v>32.777481899273937</v>
      </c>
      <c r="P130">
        <f>P129</f>
        <v>659.67000000000007</v>
      </c>
      <c r="Q130">
        <f>Q129</f>
        <v>366.48333333333335</v>
      </c>
      <c r="R130">
        <f>P130-'Example 7.1 - Pipe P1'!$C$8</f>
        <v>200.00000000000006</v>
      </c>
      <c r="S130">
        <f>Q130-'Example 7.1 - Pipe P1'!$C$9</f>
        <v>93.333333333333371</v>
      </c>
      <c r="T130">
        <f>H130/L130/Rg/Z*144</f>
        <v>0.26433190464412337</v>
      </c>
      <c r="U130">
        <f>T130*16.01846</f>
        <v>4.2341900412657045</v>
      </c>
      <c r="V130">
        <f>(Gam*H130/T130*gc*144)^0.5</f>
        <v>1150.380383409105</v>
      </c>
      <c r="W130">
        <f>V130/3.28</f>
        <v>350.72572664911741</v>
      </c>
      <c r="X130">
        <f>F130*V130</f>
        <v>1144.4459351637304</v>
      </c>
      <c r="Y130">
        <f>X130/3.28</f>
        <v>348.91644364747879</v>
      </c>
      <c r="AA130">
        <f>D130/$D$131</f>
        <v>0.99999466817050509</v>
      </c>
      <c r="AB130">
        <f>F130</f>
        <v>0.99484131654975883</v>
      </c>
      <c r="AC130">
        <f>H130/$H$5</f>
        <v>0.14198347306622433</v>
      </c>
      <c r="AD130">
        <f>J130/$J$5</f>
        <v>0.25368922546988698</v>
      </c>
      <c r="AE130">
        <f>L130/$L$5</f>
        <v>0.84719161621562045</v>
      </c>
      <c r="AF130">
        <f>T130/$T$5</f>
        <v>0.167593104497965</v>
      </c>
      <c r="AG130">
        <f>X130/$X$5</f>
        <v>3.3563433393336908</v>
      </c>
    </row>
    <row r="131" spans="1:33" x14ac:dyDescent="0.25">
      <c r="A131" s="30" t="s">
        <v>114</v>
      </c>
      <c r="B131">
        <v>8.7266462599716474E-2</v>
      </c>
      <c r="C131">
        <v>20.833333333333332</v>
      </c>
      <c r="D131">
        <f>(1/Gam*(1/M_3^2-1/F131^2)+(Gam+1)/2/Gam*LN((M_3^2/F131^2)*(1+F131^2*(Gam-1)/2)/(1+M_3^2*(Gam-1)/2)))*C131+L</f>
        <v>125.00366356454484</v>
      </c>
      <c r="E131">
        <f>D131/3.28</f>
        <v>38.11087303797099</v>
      </c>
      <c r="F131">
        <v>1</v>
      </c>
      <c r="G131">
        <f>(Gam/Z/Rg)^0.5*F131*(1+F131^2*(Gam-1)/2)^(-(Gam+1)/2/(Gam-1))</f>
        <v>9.3743433770267531E-2</v>
      </c>
      <c r="H131">
        <f>J131/(1+(Gam-1)/2*F131^2)^(Gam/(Gam-1))</f>
        <v>53.606566776666504</v>
      </c>
      <c r="I131" s="21">
        <f>H131*6.89476</f>
        <v>369.60441234908916</v>
      </c>
      <c r="J131">
        <f>mdot*P131^0.5/B131/G131/gc^0.5/144</f>
        <v>101.47343335137992</v>
      </c>
      <c r="K131" s="21">
        <f>J131*6.89476</f>
        <v>699.63496933376018</v>
      </c>
      <c r="L131">
        <f>P131/(1+(Gam-1)/2*F131^2)</f>
        <v>549.72500000000014</v>
      </c>
      <c r="M131">
        <f>L131/1.8</f>
        <v>305.40277777777783</v>
      </c>
      <c r="N131">
        <f>L131-'Example 7.1 - Pipe P1'!$C$8</f>
        <v>90.055000000000121</v>
      </c>
      <c r="O131">
        <f>M131-'Example 7.1 - Pipe P1'!$C$9</f>
        <v>32.252777777777851</v>
      </c>
      <c r="P131">
        <f>P130</f>
        <v>659.67000000000007</v>
      </c>
      <c r="Q131">
        <f>Q130</f>
        <v>366.48333333333335</v>
      </c>
      <c r="R131">
        <f>P131-'Example 7.1 - Pipe P1'!$C$8</f>
        <v>200.00000000000006</v>
      </c>
      <c r="S131">
        <f>Q131-'Example 7.1 - Pipe P1'!$C$9</f>
        <v>93.333333333333371</v>
      </c>
      <c r="T131">
        <f>H131/L131/Rg/Z*144</f>
        <v>0.26319410238325863</v>
      </c>
      <c r="U131">
        <f>T131*16.01846</f>
        <v>4.2159642012621337</v>
      </c>
      <c r="V131">
        <f>(Gam*H131/T131*gc*144)^0.5</f>
        <v>1149.3934364970639</v>
      </c>
      <c r="W131">
        <f>V131/3.28</f>
        <v>350.42482820032438</v>
      </c>
      <c r="X131">
        <f>F131*V131</f>
        <v>1149.3934364970639</v>
      </c>
      <c r="Y131">
        <f>X131/3.28</f>
        <v>350.42482820032438</v>
      </c>
      <c r="AA131">
        <f>D131/$D$131</f>
        <v>1</v>
      </c>
      <c r="AB131">
        <f>F131</f>
        <v>1</v>
      </c>
      <c r="AC131">
        <f>H131/$H$5</f>
        <v>0.14112984165005202</v>
      </c>
      <c r="AD131">
        <f>J131/$J$5</f>
        <v>0.25368358337844982</v>
      </c>
      <c r="AE131">
        <f>L131/$L$5</f>
        <v>0.84573857600502689</v>
      </c>
      <c r="AF131">
        <f>T131/$T$5</f>
        <v>0.16687170912399432</v>
      </c>
      <c r="AG131">
        <f>X131/$X$5</f>
        <v>3.3708529921152377</v>
      </c>
    </row>
    <row r="132" spans="1:33" x14ac:dyDescent="0.25">
      <c r="A132" s="32" t="s">
        <v>115</v>
      </c>
      <c r="B132" s="30"/>
      <c r="C132" s="30"/>
      <c r="D132" s="30"/>
      <c r="E132" s="30"/>
      <c r="I132" s="21"/>
      <c r="K132" s="21"/>
    </row>
    <row r="133" spans="1:33" x14ac:dyDescent="0.25">
      <c r="I133" s="21"/>
      <c r="K133" s="21"/>
    </row>
    <row r="134" spans="1:33" x14ac:dyDescent="0.25">
      <c r="I134" s="21"/>
      <c r="K134" s="21"/>
    </row>
    <row r="135" spans="1:33" x14ac:dyDescent="0.25">
      <c r="I135" s="21"/>
      <c r="K135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Example 7.1 - Pipe P1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2024-04-22T23:04:08Z</dcterms:modified>
</cp:coreProperties>
</file>